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7"/>
  <workbookPr/>
  <mc:AlternateContent xmlns:mc="http://schemas.openxmlformats.org/markup-compatibility/2006">
    <mc:Choice Requires="x15">
      <x15ac:absPath xmlns:x15ac="http://schemas.microsoft.com/office/spreadsheetml/2010/11/ac" url="https://atlanticpackets-my.sharepoint.com/personal/rick_azorespv_com/Documents/"/>
    </mc:Choice>
  </mc:AlternateContent>
  <xr:revisionPtr revIDLastSave="250" documentId="13_ncr:1_{DA8D3F0E-544C-4FB8-883C-0A6DD5A896C9}" xr6:coauthVersionLast="47" xr6:coauthVersionMax="47" xr10:uidLastSave="{35E2BA55-B8F1-4BF0-A8D6-B03DE3354D15}"/>
  <bookViews>
    <workbookView xWindow="-120" yWindow="-120" windowWidth="20730" windowHeight="11040" firstSheet="1" activeTab="1" xr2:uid="{93905567-0A4E-42C4-8565-E39E0627FDA4}"/>
  </bookViews>
  <sheets>
    <sheet name="2028-2053" sheetId="1" r:id="rId1"/>
    <sheet name="2028-2029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2" l="1"/>
  <c r="H41" i="1"/>
  <c r="H44" i="1" s="1"/>
  <c r="G41" i="1"/>
  <c r="G42" i="1" s="1"/>
  <c r="F41" i="1"/>
  <c r="F42" i="1" s="1"/>
  <c r="E41" i="1"/>
  <c r="E42" i="1" s="1"/>
  <c r="D41" i="1"/>
  <c r="D42" i="1" s="1"/>
  <c r="H42" i="1" l="1"/>
  <c r="E44" i="1"/>
  <c r="F44" i="1"/>
  <c r="G44" i="1"/>
  <c r="C38" i="1"/>
  <c r="C20" i="1"/>
  <c r="C41" i="1" s="1"/>
  <c r="I44" i="1" l="1"/>
  <c r="C42" i="1"/>
  <c r="H47" i="2"/>
  <c r="H50" i="2" s="1"/>
  <c r="G47" i="2"/>
  <c r="G50" i="2" s="1"/>
  <c r="F47" i="2"/>
  <c r="F48" i="2" s="1"/>
  <c r="E47" i="2"/>
  <c r="E48" i="2" s="1"/>
  <c r="D47" i="2"/>
  <c r="D48" i="2" s="1"/>
  <c r="C47" i="2"/>
  <c r="C50" i="2" s="1"/>
  <c r="H48" i="2"/>
  <c r="G48" i="2" l="1"/>
  <c r="D50" i="2"/>
  <c r="E50" i="2"/>
  <c r="F50" i="2"/>
  <c r="H50" i="1"/>
  <c r="G50" i="1"/>
  <c r="F50" i="1"/>
  <c r="E50" i="1"/>
  <c r="D50" i="1"/>
  <c r="H46" i="1"/>
  <c r="G46" i="1"/>
  <c r="F46" i="1"/>
  <c r="E46" i="1"/>
  <c r="D46" i="1"/>
  <c r="C46" i="1"/>
  <c r="I50" i="2" l="1"/>
  <c r="C32" i="1"/>
  <c r="C50" i="1" s="1"/>
  <c r="H43" i="1"/>
  <c r="H45" i="1" s="1"/>
  <c r="G43" i="1"/>
  <c r="G45" i="1" s="1"/>
  <c r="F43" i="1"/>
  <c r="F45" i="1" s="1"/>
  <c r="E43" i="1"/>
  <c r="E45" i="1" s="1"/>
  <c r="D43" i="1"/>
  <c r="D45" i="1" s="1"/>
  <c r="D47" i="1" l="1"/>
  <c r="D52" i="1"/>
  <c r="E47" i="1"/>
  <c r="E52" i="1"/>
  <c r="G52" i="1"/>
  <c r="H52" i="1"/>
  <c r="I32" i="1"/>
  <c r="F52" i="1"/>
  <c r="C43" i="1"/>
  <c r="F47" i="1"/>
  <c r="G47" i="1"/>
  <c r="H47" i="1"/>
  <c r="I42" i="1"/>
  <c r="I43" i="1" l="1"/>
  <c r="C45" i="1"/>
  <c r="H49" i="2"/>
  <c r="H51" i="2" s="1"/>
  <c r="G49" i="2"/>
  <c r="G51" i="2" s="1"/>
  <c r="F49" i="2"/>
  <c r="F51" i="2" s="1"/>
  <c r="E49" i="2"/>
  <c r="E51" i="2" s="1"/>
  <c r="D49" i="2"/>
  <c r="D51" i="2" s="1"/>
  <c r="C37" i="2" l="1"/>
  <c r="I37" i="2" s="1"/>
  <c r="C34" i="2"/>
  <c r="C33" i="2"/>
  <c r="H39" i="1" l="1"/>
  <c r="G39" i="1"/>
  <c r="F39" i="1"/>
  <c r="E39" i="1"/>
  <c r="D39" i="1"/>
  <c r="C39" i="1"/>
  <c r="C29" i="1" l="1"/>
  <c r="I20" i="1" l="1"/>
  <c r="H14" i="1" l="1"/>
  <c r="H16" i="1" s="1"/>
  <c r="H40" i="1"/>
  <c r="G40" i="1"/>
  <c r="F40" i="1"/>
  <c r="E40" i="1"/>
  <c r="D40" i="1"/>
  <c r="C40" i="1"/>
  <c r="H30" i="1"/>
  <c r="H31" i="1" s="1"/>
  <c r="H48" i="1" s="1"/>
  <c r="G30" i="1"/>
  <c r="G31" i="1" s="1"/>
  <c r="G48" i="1" s="1"/>
  <c r="F30" i="1"/>
  <c r="F31" i="1" s="1"/>
  <c r="F48" i="1" s="1"/>
  <c r="E30" i="1"/>
  <c r="E31" i="1" s="1"/>
  <c r="E48" i="1" s="1"/>
  <c r="D30" i="1"/>
  <c r="D31" i="1" s="1"/>
  <c r="D48" i="1" s="1"/>
  <c r="C30" i="1"/>
  <c r="I21" i="1"/>
  <c r="G14" i="1"/>
  <c r="G16" i="1" s="1"/>
  <c r="F14" i="1"/>
  <c r="E14" i="1"/>
  <c r="D14" i="1"/>
  <c r="D16" i="1" s="1"/>
  <c r="D18" i="1" s="1"/>
  <c r="C6" i="1"/>
  <c r="I5" i="1"/>
  <c r="H4" i="1"/>
  <c r="G4" i="1"/>
  <c r="F4" i="1"/>
  <c r="E4" i="1"/>
  <c r="D4" i="1"/>
  <c r="D33" i="1" l="1"/>
  <c r="D49" i="1" s="1"/>
  <c r="D51" i="1"/>
  <c r="E33" i="1"/>
  <c r="E49" i="1" s="1"/>
  <c r="E51" i="1"/>
  <c r="F33" i="1"/>
  <c r="F49" i="1" s="1"/>
  <c r="F51" i="1"/>
  <c r="G33" i="1"/>
  <c r="G49" i="1" s="1"/>
  <c r="G51" i="1"/>
  <c r="H33" i="1"/>
  <c r="H49" i="1" s="1"/>
  <c r="H51" i="1"/>
  <c r="I6" i="1"/>
  <c r="C14" i="1"/>
  <c r="I14" i="1" s="1"/>
  <c r="C4" i="1"/>
  <c r="I4" i="1" s="1"/>
  <c r="I8" i="1" s="1"/>
  <c r="I40" i="1"/>
  <c r="I29" i="1"/>
  <c r="H18" i="1"/>
  <c r="H19" i="1" s="1"/>
  <c r="H23" i="1" s="1"/>
  <c r="C31" i="1"/>
  <c r="I30" i="1"/>
  <c r="F16" i="1"/>
  <c r="F18" i="1" s="1"/>
  <c r="G18" i="1"/>
  <c r="G19" i="1" s="1"/>
  <c r="G23" i="1" s="1"/>
  <c r="I41" i="1"/>
  <c r="I38" i="1"/>
  <c r="D19" i="1"/>
  <c r="D23" i="1" s="1"/>
  <c r="E16" i="1"/>
  <c r="E18" i="1" s="1"/>
  <c r="C16" i="1" l="1"/>
  <c r="C18" i="1" s="1"/>
  <c r="C19" i="1" s="1"/>
  <c r="C23" i="1" s="1"/>
  <c r="C33" i="1"/>
  <c r="C51" i="1"/>
  <c r="I51" i="1" s="1"/>
  <c r="I50" i="1"/>
  <c r="I39" i="1"/>
  <c r="F19" i="1"/>
  <c r="F23" i="1" s="1"/>
  <c r="I31" i="1"/>
  <c r="H22" i="1"/>
  <c r="E19" i="1"/>
  <c r="E23" i="1" s="1"/>
  <c r="G22" i="1"/>
  <c r="D22" i="1"/>
  <c r="H28" i="1" l="1"/>
  <c r="G28" i="1"/>
  <c r="D28" i="1"/>
  <c r="I16" i="1"/>
  <c r="I15" i="1" s="1"/>
  <c r="I18" i="1"/>
  <c r="C22" i="1"/>
  <c r="I33" i="1"/>
  <c r="F22" i="1"/>
  <c r="D35" i="1"/>
  <c r="D53" i="1" s="1"/>
  <c r="D54" i="1" s="1"/>
  <c r="D55" i="1" s="1"/>
  <c r="D56" i="1" s="1"/>
  <c r="E22" i="1"/>
  <c r="H35" i="1"/>
  <c r="H53" i="1" s="1"/>
  <c r="H54" i="1" s="1"/>
  <c r="H55" i="1" s="1"/>
  <c r="H56" i="1" s="1"/>
  <c r="G35" i="1"/>
  <c r="G53" i="1" s="1"/>
  <c r="G54" i="1" s="1"/>
  <c r="G55" i="1" s="1"/>
  <c r="G56" i="1" s="1"/>
  <c r="I19" i="1"/>
  <c r="I23" i="1" s="1"/>
  <c r="E28" i="1" l="1"/>
  <c r="F28" i="1"/>
  <c r="C28" i="1"/>
  <c r="F35" i="1"/>
  <c r="F53" i="1" s="1"/>
  <c r="F54" i="1" s="1"/>
  <c r="F55" i="1" s="1"/>
  <c r="F56" i="1" s="1"/>
  <c r="I22" i="1"/>
  <c r="E35" i="1"/>
  <c r="E53" i="1" s="1"/>
  <c r="E54" i="1" s="1"/>
  <c r="E55" i="1" s="1"/>
  <c r="E56" i="1" s="1"/>
  <c r="I28" i="1" l="1"/>
  <c r="C35" i="1"/>
  <c r="I35" i="1" l="1"/>
  <c r="I34" i="1" s="1"/>
  <c r="I46" i="1" s="1"/>
  <c r="C48" i="2" l="1"/>
  <c r="H35" i="2"/>
  <c r="H36" i="2" s="1"/>
  <c r="H54" i="2" s="1"/>
  <c r="G35" i="2"/>
  <c r="G36" i="2" s="1"/>
  <c r="G54" i="2" s="1"/>
  <c r="F35" i="2"/>
  <c r="F36" i="2" s="1"/>
  <c r="F54" i="2" s="1"/>
  <c r="E35" i="2"/>
  <c r="E36" i="2" s="1"/>
  <c r="E54" i="2" s="1"/>
  <c r="D35" i="2"/>
  <c r="D36" i="2" s="1"/>
  <c r="I34" i="2"/>
  <c r="I33" i="2"/>
  <c r="D38" i="2" l="1"/>
  <c r="D54" i="2"/>
  <c r="I48" i="2"/>
  <c r="C49" i="2"/>
  <c r="C51" i="2" s="1"/>
  <c r="H57" i="2"/>
  <c r="H38" i="2"/>
  <c r="F57" i="2"/>
  <c r="F38" i="2"/>
  <c r="G57" i="2"/>
  <c r="G38" i="2"/>
  <c r="E57" i="2"/>
  <c r="E38" i="2"/>
  <c r="D57" i="2"/>
  <c r="C35" i="2"/>
  <c r="I35" i="2" l="1"/>
  <c r="C36" i="2"/>
  <c r="C54" i="2" s="1"/>
  <c r="I54" i="2" s="1"/>
  <c r="C57" i="2" l="1"/>
  <c r="C38" i="2"/>
  <c r="I36" i="2"/>
  <c r="H4" i="2" l="1"/>
  <c r="G4" i="2"/>
  <c r="F4" i="2"/>
  <c r="E4" i="2"/>
  <c r="D4" i="2"/>
  <c r="C6" i="2" l="1"/>
  <c r="C14" i="2" s="1"/>
  <c r="C4" i="2" l="1"/>
  <c r="H46" i="2" l="1"/>
  <c r="G46" i="2"/>
  <c r="F46" i="2"/>
  <c r="E46" i="2"/>
  <c r="D46" i="2"/>
  <c r="C46" i="2"/>
  <c r="I44" i="2"/>
  <c r="I46" i="2" l="1"/>
  <c r="I47" i="2"/>
  <c r="I57" i="2" l="1"/>
  <c r="I10" i="2" l="1"/>
  <c r="H10" i="2"/>
  <c r="G10" i="2"/>
  <c r="F10" i="2"/>
  <c r="E10" i="2"/>
  <c r="D10" i="2"/>
  <c r="C10" i="2"/>
  <c r="F14" i="2"/>
  <c r="E14" i="2"/>
  <c r="F16" i="2" l="1"/>
  <c r="E16" i="2"/>
  <c r="E18" i="2" s="1"/>
  <c r="G14" i="2"/>
  <c r="H14" i="2"/>
  <c r="H52" i="2"/>
  <c r="G52" i="2"/>
  <c r="F52" i="2"/>
  <c r="E52" i="2"/>
  <c r="D52" i="2"/>
  <c r="C52" i="2"/>
  <c r="G16" i="2" l="1"/>
  <c r="G18" i="2" s="1"/>
  <c r="G19" i="2" s="1"/>
  <c r="F18" i="2"/>
  <c r="F19" i="2" s="1"/>
  <c r="E19" i="2"/>
  <c r="H16" i="2"/>
  <c r="H18" i="2" s="1"/>
  <c r="H19" i="2" l="1"/>
  <c r="H27" i="2" l="1"/>
  <c r="G27" i="2"/>
  <c r="F27" i="2"/>
  <c r="E27" i="2"/>
  <c r="D27" i="2"/>
  <c r="C27" i="2"/>
  <c r="I26" i="2"/>
  <c r="I25" i="2"/>
  <c r="I24" i="2"/>
  <c r="F21" i="2"/>
  <c r="E21" i="2"/>
  <c r="H21" i="2"/>
  <c r="G21" i="2"/>
  <c r="I5" i="2"/>
  <c r="C16" i="2" l="1"/>
  <c r="C18" i="2" s="1"/>
  <c r="E32" i="2"/>
  <c r="F32" i="2"/>
  <c r="H32" i="2"/>
  <c r="G32" i="2"/>
  <c r="D14" i="2"/>
  <c r="D16" i="2" s="1"/>
  <c r="I6" i="2"/>
  <c r="H11" i="2"/>
  <c r="I4" i="2"/>
  <c r="I8" i="2" s="1"/>
  <c r="E11" i="2"/>
  <c r="G11" i="2"/>
  <c r="I27" i="2"/>
  <c r="F56" i="2" l="1"/>
  <c r="F55" i="2"/>
  <c r="H56" i="2"/>
  <c r="H55" i="2"/>
  <c r="E56" i="2"/>
  <c r="E55" i="2"/>
  <c r="G56" i="2"/>
  <c r="G55" i="2"/>
  <c r="F40" i="2"/>
  <c r="F41" i="2"/>
  <c r="G40" i="2"/>
  <c r="G41" i="2"/>
  <c r="E40" i="2"/>
  <c r="E41" i="2"/>
  <c r="H40" i="2"/>
  <c r="H41" i="2"/>
  <c r="D18" i="2"/>
  <c r="G58" i="2" l="1"/>
  <c r="E58" i="2"/>
  <c r="H58" i="2"/>
  <c r="F58" i="2"/>
  <c r="D19" i="2"/>
  <c r="D11" i="2" s="1"/>
  <c r="D21" i="2" l="1"/>
  <c r="D32" i="2" s="1"/>
  <c r="H53" i="2"/>
  <c r="G53" i="2"/>
  <c r="F53" i="2"/>
  <c r="E53" i="2"/>
  <c r="C19" i="2"/>
  <c r="D55" i="2" l="1"/>
  <c r="D56" i="2"/>
  <c r="D40" i="2"/>
  <c r="D41" i="2"/>
  <c r="C21" i="2"/>
  <c r="I19" i="2"/>
  <c r="D58" i="2" l="1"/>
  <c r="C32" i="2"/>
  <c r="D53" i="2"/>
  <c r="I21" i="2"/>
  <c r="C41" i="2" l="1"/>
  <c r="C55" i="2"/>
  <c r="C56" i="2"/>
  <c r="C40" i="2"/>
  <c r="I40" i="2" s="1"/>
  <c r="I38" i="2"/>
  <c r="I41" i="2" s="1"/>
  <c r="I32" i="2"/>
  <c r="I39" i="2" l="1"/>
  <c r="I56" i="2"/>
  <c r="I49" i="2"/>
  <c r="I51" i="2" l="1"/>
  <c r="C53" i="2" l="1"/>
  <c r="C58" i="2"/>
  <c r="I55" i="2" l="1"/>
  <c r="I58" i="2" l="1"/>
  <c r="C11" i="2" l="1"/>
  <c r="I16" i="2"/>
  <c r="I18" i="2"/>
  <c r="I11" i="2" s="1"/>
  <c r="I14" i="2"/>
  <c r="F11" i="2"/>
  <c r="C59" i="2"/>
  <c r="C60" i="2" s="1"/>
  <c r="C61" i="2" s="1"/>
  <c r="I15" i="2" l="1"/>
  <c r="F59" i="2"/>
  <c r="F60" i="2" s="1"/>
  <c r="F61" i="2" s="1"/>
  <c r="G59" i="2"/>
  <c r="G60" i="2" s="1"/>
  <c r="G61" i="2" s="1"/>
  <c r="E59" i="2"/>
  <c r="E60" i="2" s="1"/>
  <c r="E61" i="2" s="1"/>
  <c r="H59" i="2"/>
  <c r="H60" i="2" s="1"/>
  <c r="H61" i="2" s="1"/>
  <c r="I53" i="2" l="1"/>
  <c r="D59" i="2"/>
  <c r="D60" i="2" s="1"/>
  <c r="D61" i="2" s="1"/>
  <c r="I59" i="2" l="1"/>
  <c r="I60" i="2" s="1"/>
  <c r="I61" i="2" s="1"/>
  <c r="I52" i="2" l="1"/>
  <c r="C48" i="1"/>
  <c r="I48" i="1" s="1"/>
  <c r="C52" i="1"/>
  <c r="I52" i="1" s="1"/>
  <c r="I45" i="1"/>
  <c r="C49" i="1"/>
  <c r="I49" i="1" s="1"/>
  <c r="C47" i="1"/>
  <c r="C53" i="1" s="1"/>
  <c r="I47" i="1" l="1"/>
  <c r="I53" i="1"/>
  <c r="I54" i="1" s="1"/>
  <c r="I55" i="1" s="1"/>
  <c r="I56" i="1" s="1"/>
  <c r="C54" i="1"/>
  <c r="C55" i="1" s="1"/>
  <c r="C56" i="1" s="1"/>
</calcChain>
</file>

<file path=xl/sharedStrings.xml><?xml version="1.0" encoding="utf-8"?>
<sst xmlns="http://schemas.openxmlformats.org/spreadsheetml/2006/main" count="229" uniqueCount="74">
  <si>
    <t>Capacidade, Produção e Procura 2028-2053</t>
  </si>
  <si>
    <t>S. Miguel</t>
  </si>
  <si>
    <t>Terceira</t>
  </si>
  <si>
    <t>Pico</t>
  </si>
  <si>
    <t>Faial</t>
  </si>
  <si>
    <t>S. Jorge</t>
  </si>
  <si>
    <t>Sta Maria</t>
  </si>
  <si>
    <t>Total</t>
  </si>
  <si>
    <t>Todos os valores em GWh, salvo indicação em contrário</t>
  </si>
  <si>
    <t>Capacidade</t>
  </si>
  <si>
    <t>Capacidade CC</t>
  </si>
  <si>
    <t>MW</t>
  </si>
  <si>
    <t>Capacidade CA</t>
  </si>
  <si>
    <t>Paneis</t>
  </si>
  <si>
    <t>#</t>
  </si>
  <si>
    <t>Área por painel</t>
  </si>
  <si>
    <t>m2</t>
  </si>
  <si>
    <t>Irradiação Horizontal Global</t>
  </si>
  <si>
    <t>kwh/m2</t>
  </si>
  <si>
    <t>Eficiência do painel</t>
  </si>
  <si>
    <t>%</t>
  </si>
  <si>
    <t>Diminuição da eficiência (média 25 anos)</t>
  </si>
  <si>
    <t>Provisão para incerteza (P90) (PVSys)</t>
  </si>
  <si>
    <t>Produção</t>
  </si>
  <si>
    <t>Produção Bruta</t>
  </si>
  <si>
    <t>GWh</t>
  </si>
  <si>
    <t>Perdas CC</t>
  </si>
  <si>
    <t>Perdas CA</t>
  </si>
  <si>
    <t>Produção líquida</t>
  </si>
  <si>
    <t>Autoconsumo</t>
  </si>
  <si>
    <t>Corte (Curtailment)</t>
  </si>
  <si>
    <t>Produção disponível para venda</t>
  </si>
  <si>
    <t>Fator de Produção (25 anos)</t>
  </si>
  <si>
    <t>Gwh/MWp</t>
  </si>
  <si>
    <t>Compras e Vendas 2028-2053</t>
  </si>
  <si>
    <t>Produção Vendida</t>
  </si>
  <si>
    <t>Produção Armazenada</t>
  </si>
  <si>
    <t>Perdas de Armazenamento</t>
  </si>
  <si>
    <t>Armazenamento Vendida</t>
  </si>
  <si>
    <t>Produção vendida diretamente</t>
  </si>
  <si>
    <t xml:space="preserve">    Preço</t>
  </si>
  <si>
    <t>€/MWh</t>
  </si>
  <si>
    <t xml:space="preserve">    Quantidade vendida em Euros</t>
  </si>
  <si>
    <t>€M</t>
  </si>
  <si>
    <t>Armazenamento Adicional Vendido</t>
  </si>
  <si>
    <t>Eletricidade comprada da EDA</t>
  </si>
  <si>
    <t>Preço médio</t>
  </si>
  <si>
    <t>Procura em Euros</t>
  </si>
  <si>
    <t>Menos: eletricidade usada internamente</t>
  </si>
  <si>
    <t>Eletricidade comprada armazenada</t>
  </si>
  <si>
    <t>Perdas de armazenamento</t>
  </si>
  <si>
    <t>Armazenamento Adicional líquido vendido</t>
  </si>
  <si>
    <t xml:space="preserve">    Preço Médio</t>
  </si>
  <si>
    <t>Total Armazenamento adquirido pela EDA</t>
  </si>
  <si>
    <t>Total adquirido pela EDA</t>
  </si>
  <si>
    <t xml:space="preserve">   Fotovoltaica (procurada diretamente)</t>
  </si>
  <si>
    <t xml:space="preserve">   Fotovolotaica (redução do corte)</t>
  </si>
  <si>
    <t xml:space="preserve">   Eólica (redução do corte)</t>
  </si>
  <si>
    <t>Custo Total</t>
  </si>
  <si>
    <t>Custo líquido</t>
  </si>
  <si>
    <t>Custo líquido /MWh</t>
  </si>
  <si>
    <t>Custo líquido /MWh em valores 2028</t>
  </si>
  <si>
    <t>Capacidade, Produção e Procura 2028-2029</t>
  </si>
  <si>
    <t>Provisão para incerteza (P90)</t>
  </si>
  <si>
    <t>Fator de Produção</t>
  </si>
  <si>
    <t>\</t>
  </si>
  <si>
    <t>Procura</t>
  </si>
  <si>
    <t>Demanda projetada</t>
  </si>
  <si>
    <t>Outras fontes renováveis</t>
  </si>
  <si>
    <t>Uso projetado de turbina movida a óleo</t>
  </si>
  <si>
    <t>Procura Líquida</t>
  </si>
  <si>
    <t>Compras e Vendas 2028-2029</t>
  </si>
  <si>
    <t xml:space="preserve">    Percentagem da Procura Total</t>
  </si>
  <si>
    <t>Eletricidade comprada pela F.A.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</si>
</sst>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[$€-2]\ * #,##0.00_);_([$€-2]\ * \(#,##0.00\);_([$€-2]\ * &quot;-&quot;??_);_(@_)"/>
    <numFmt numFmtId="167" formatCode="0.0%"/>
    <numFmt numFmtId="168" formatCode="_(* #,##0.000_);_(* \(#,##0.000\);_(* &quot;-&quot;??_);_(@_)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rgb="FF000000"/>
      <name val="Calibri"/>
      <family val="2"/>
    </font>
    <font>
      <b/>
      <sz val="9"/>
      <color theme="1"/>
      <name val="Calibri"/>
      <family val="2"/>
    </font>
    <font>
      <sz val="8"/>
      <color theme="1"/>
      <name val="Calibri"/>
      <family val="2"/>
    </font>
    <font>
      <sz val="9"/>
      <color theme="1"/>
      <name val="Calibri"/>
      <family val="2"/>
    </font>
    <font>
      <b/>
      <sz val="9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3" tint="0.499984740745262"/>
        <bgColor rgb="FF000000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43" fontId="5" fillId="4" borderId="0" xfId="1" applyFont="1" applyFill="1" applyBorder="1" applyAlignment="1">
      <alignment horizontal="right"/>
    </xf>
    <xf numFmtId="165" fontId="5" fillId="4" borderId="0" xfId="1" applyNumberFormat="1" applyFont="1" applyFill="1" applyBorder="1" applyAlignment="1">
      <alignment horizontal="right"/>
    </xf>
    <xf numFmtId="164" fontId="5" fillId="4" borderId="0" xfId="1" applyNumberFormat="1" applyFont="1" applyFill="1" applyBorder="1" applyAlignment="1">
      <alignment horizontal="right"/>
    </xf>
    <xf numFmtId="167" fontId="5" fillId="4" borderId="0" xfId="2" applyNumberFormat="1" applyFont="1" applyFill="1" applyBorder="1" applyAlignment="1">
      <alignment horizontal="right"/>
    </xf>
    <xf numFmtId="0" fontId="3" fillId="3" borderId="2" xfId="0" applyFont="1" applyFill="1" applyBorder="1" applyAlignment="1">
      <alignment horizontal="center"/>
    </xf>
    <xf numFmtId="164" fontId="5" fillId="4" borderId="2" xfId="1" applyNumberFormat="1" applyFont="1" applyFill="1" applyBorder="1" applyAlignment="1">
      <alignment horizontal="right"/>
    </xf>
    <xf numFmtId="166" fontId="5" fillId="4" borderId="0" xfId="1" applyNumberFormat="1" applyFont="1" applyFill="1" applyBorder="1" applyAlignment="1">
      <alignment horizontal="right"/>
    </xf>
    <xf numFmtId="168" fontId="5" fillId="4" borderId="0" xfId="1" applyNumberFormat="1" applyFont="1" applyFill="1" applyBorder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9" fontId="5" fillId="4" borderId="0" xfId="2" applyFont="1" applyFill="1" applyBorder="1" applyAlignment="1">
      <alignment horizontal="right"/>
    </xf>
    <xf numFmtId="164" fontId="3" fillId="4" borderId="0" xfId="1" applyNumberFormat="1" applyFont="1" applyFill="1" applyBorder="1" applyAlignment="1">
      <alignment horizontal="right"/>
    </xf>
    <xf numFmtId="10" fontId="5" fillId="4" borderId="0" xfId="2" applyNumberFormat="1" applyFont="1" applyFill="1" applyBorder="1" applyAlignment="1">
      <alignment horizontal="right"/>
    </xf>
    <xf numFmtId="43" fontId="3" fillId="4" borderId="0" xfId="1" applyFont="1" applyFill="1" applyBorder="1" applyAlignment="1">
      <alignment horizontal="right"/>
    </xf>
    <xf numFmtId="43" fontId="5" fillId="0" borderId="0" xfId="1" applyFont="1"/>
    <xf numFmtId="0" fontId="3" fillId="2" borderId="3" xfId="0" applyFont="1" applyFill="1" applyBorder="1"/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right"/>
    </xf>
    <xf numFmtId="0" fontId="3" fillId="2" borderId="5" xfId="0" applyFont="1" applyFill="1" applyBorder="1" applyAlignment="1">
      <alignment horizontal="right"/>
    </xf>
    <xf numFmtId="0" fontId="4" fillId="3" borderId="6" xfId="0" applyFont="1" applyFill="1" applyBorder="1"/>
    <xf numFmtId="0" fontId="4" fillId="3" borderId="0" xfId="0" applyFont="1" applyFill="1" applyAlignment="1">
      <alignment horizontal="center"/>
    </xf>
    <xf numFmtId="0" fontId="5" fillId="4" borderId="0" xfId="0" applyFont="1" applyFill="1" applyAlignment="1">
      <alignment horizontal="right"/>
    </xf>
    <xf numFmtId="0" fontId="5" fillId="4" borderId="7" xfId="0" applyFont="1" applyFill="1" applyBorder="1" applyAlignment="1">
      <alignment horizontal="right"/>
    </xf>
    <xf numFmtId="0" fontId="3" fillId="3" borderId="6" xfId="0" applyFont="1" applyFill="1" applyBorder="1"/>
    <xf numFmtId="0" fontId="3" fillId="3" borderId="0" xfId="0" applyFont="1" applyFill="1" applyAlignment="1">
      <alignment horizontal="center"/>
    </xf>
    <xf numFmtId="0" fontId="5" fillId="3" borderId="6" xfId="0" applyFont="1" applyFill="1" applyBorder="1"/>
    <xf numFmtId="0" fontId="5" fillId="3" borderId="0" xfId="0" applyFont="1" applyFill="1" applyAlignment="1">
      <alignment horizontal="center"/>
    </xf>
    <xf numFmtId="43" fontId="5" fillId="4" borderId="7" xfId="1" applyFont="1" applyFill="1" applyBorder="1" applyAlignment="1">
      <alignment horizontal="right"/>
    </xf>
    <xf numFmtId="165" fontId="5" fillId="4" borderId="7" xfId="1" applyNumberFormat="1" applyFont="1" applyFill="1" applyBorder="1" applyAlignment="1">
      <alignment horizontal="right"/>
    </xf>
    <xf numFmtId="164" fontId="5" fillId="4" borderId="7" xfId="1" applyNumberFormat="1" applyFont="1" applyFill="1" applyBorder="1" applyAlignment="1">
      <alignment horizontal="right"/>
    </xf>
    <xf numFmtId="10" fontId="5" fillId="4" borderId="7" xfId="2" applyNumberFormat="1" applyFont="1" applyFill="1" applyBorder="1" applyAlignment="1">
      <alignment horizontal="right"/>
    </xf>
    <xf numFmtId="10" fontId="5" fillId="3" borderId="0" xfId="0" applyNumberFormat="1" applyFont="1" applyFill="1" applyAlignment="1">
      <alignment horizontal="center"/>
    </xf>
    <xf numFmtId="10" fontId="5" fillId="4" borderId="0" xfId="0" applyNumberFormat="1" applyFont="1" applyFill="1" applyAlignment="1">
      <alignment horizontal="right"/>
    </xf>
    <xf numFmtId="10" fontId="5" fillId="4" borderId="7" xfId="0" applyNumberFormat="1" applyFont="1" applyFill="1" applyBorder="1" applyAlignment="1">
      <alignment horizontal="right"/>
    </xf>
    <xf numFmtId="43" fontId="5" fillId="4" borderId="0" xfId="0" applyNumberFormat="1" applyFont="1" applyFill="1" applyAlignment="1">
      <alignment horizontal="right"/>
    </xf>
    <xf numFmtId="43" fontId="5" fillId="4" borderId="7" xfId="0" applyNumberFormat="1" applyFont="1" applyFill="1" applyBorder="1" applyAlignment="1">
      <alignment horizontal="right"/>
    </xf>
    <xf numFmtId="43" fontId="3" fillId="4" borderId="0" xfId="0" applyNumberFormat="1" applyFont="1" applyFill="1" applyAlignment="1">
      <alignment horizontal="right"/>
    </xf>
    <xf numFmtId="9" fontId="5" fillId="4" borderId="7" xfId="2" applyFont="1" applyFill="1" applyBorder="1" applyAlignment="1">
      <alignment horizontal="right"/>
    </xf>
    <xf numFmtId="164" fontId="3" fillId="4" borderId="7" xfId="1" applyNumberFormat="1" applyFont="1" applyFill="1" applyBorder="1" applyAlignment="1">
      <alignment horizontal="right"/>
    </xf>
    <xf numFmtId="0" fontId="3" fillId="3" borderId="8" xfId="0" applyFont="1" applyFill="1" applyBorder="1"/>
    <xf numFmtId="164" fontId="5" fillId="4" borderId="9" xfId="1" applyNumberFormat="1" applyFont="1" applyFill="1" applyBorder="1" applyAlignment="1">
      <alignment horizontal="right"/>
    </xf>
    <xf numFmtId="0" fontId="3" fillId="2" borderId="10" xfId="0" applyFont="1" applyFill="1" applyBorder="1"/>
    <xf numFmtId="0" fontId="3" fillId="2" borderId="11" xfId="0" applyFont="1" applyFill="1" applyBorder="1" applyAlignment="1">
      <alignment horizontal="right"/>
    </xf>
    <xf numFmtId="43" fontId="3" fillId="4" borderId="7" xfId="1" applyFont="1" applyFill="1" applyBorder="1" applyAlignment="1">
      <alignment horizontal="right"/>
    </xf>
    <xf numFmtId="0" fontId="2" fillId="5" borderId="0" xfId="0" applyFont="1" applyFill="1" applyAlignment="1">
      <alignment horizontal="center"/>
    </xf>
    <xf numFmtId="166" fontId="5" fillId="4" borderId="7" xfId="1" applyNumberFormat="1" applyFont="1" applyFill="1" applyBorder="1" applyAlignment="1">
      <alignment horizontal="right"/>
    </xf>
    <xf numFmtId="168" fontId="5" fillId="4" borderId="7" xfId="1" applyNumberFormat="1" applyFont="1" applyFill="1" applyBorder="1" applyAlignment="1">
      <alignment horizontal="right"/>
    </xf>
    <xf numFmtId="167" fontId="5" fillId="4" borderId="7" xfId="2" applyNumberFormat="1" applyFont="1" applyFill="1" applyBorder="1" applyAlignment="1">
      <alignment horizontal="right"/>
    </xf>
    <xf numFmtId="43" fontId="0" fillId="0" borderId="0" xfId="0" applyNumberFormat="1"/>
    <xf numFmtId="0" fontId="0" fillId="6" borderId="0" xfId="0" applyFill="1"/>
    <xf numFmtId="43" fontId="3" fillId="4" borderId="7" xfId="0" applyNumberFormat="1" applyFont="1" applyFill="1" applyBorder="1" applyAlignment="1">
      <alignment horizontal="right"/>
    </xf>
    <xf numFmtId="0" fontId="5" fillId="2" borderId="4" xfId="0" applyFont="1" applyFill="1" applyBorder="1" applyAlignment="1">
      <alignment horizontal="center"/>
    </xf>
    <xf numFmtId="43" fontId="3" fillId="2" borderId="4" xfId="1" applyFont="1" applyFill="1" applyBorder="1" applyAlignment="1">
      <alignment horizontal="right"/>
    </xf>
    <xf numFmtId="43" fontId="3" fillId="2" borderId="5" xfId="1" applyFont="1" applyFill="1" applyBorder="1" applyAlignment="1">
      <alignment horizontal="right"/>
    </xf>
    <xf numFmtId="0" fontId="5" fillId="2" borderId="6" xfId="0" applyFont="1" applyFill="1" applyBorder="1"/>
    <xf numFmtId="0" fontId="5" fillId="2" borderId="0" xfId="0" applyFont="1" applyFill="1" applyAlignment="1">
      <alignment horizontal="center"/>
    </xf>
    <xf numFmtId="43" fontId="5" fillId="2" borderId="0" xfId="1" applyFont="1" applyFill="1" applyBorder="1" applyAlignment="1">
      <alignment horizontal="right"/>
    </xf>
    <xf numFmtId="43" fontId="3" fillId="2" borderId="7" xfId="1" applyFont="1" applyFill="1" applyBorder="1" applyAlignment="1">
      <alignment horizontal="right"/>
    </xf>
    <xf numFmtId="0" fontId="5" fillId="2" borderId="12" xfId="0" applyFont="1" applyFill="1" applyBorder="1"/>
    <xf numFmtId="0" fontId="5" fillId="2" borderId="13" xfId="0" applyFont="1" applyFill="1" applyBorder="1" applyAlignment="1">
      <alignment horizontal="center"/>
    </xf>
    <xf numFmtId="43" fontId="5" fillId="2" borderId="13" xfId="1" applyFont="1" applyFill="1" applyBorder="1" applyAlignment="1">
      <alignment horizontal="right"/>
    </xf>
    <xf numFmtId="43" fontId="3" fillId="2" borderId="14" xfId="1" applyFont="1" applyFill="1" applyBorder="1" applyAlignment="1">
      <alignment horizontal="right"/>
    </xf>
    <xf numFmtId="43" fontId="5" fillId="2" borderId="7" xfId="1" applyFont="1" applyFill="1" applyBorder="1" applyAlignment="1">
      <alignment horizontal="right"/>
    </xf>
    <xf numFmtId="0" fontId="3" fillId="2" borderId="6" xfId="0" applyFont="1" applyFill="1" applyBorder="1"/>
    <xf numFmtId="0" fontId="3" fillId="2" borderId="0" xfId="0" applyFont="1" applyFill="1" applyAlignment="1">
      <alignment horizontal="center"/>
    </xf>
    <xf numFmtId="164" fontId="3" fillId="2" borderId="0" xfId="1" applyNumberFormat="1" applyFont="1" applyFill="1" applyBorder="1" applyAlignment="1">
      <alignment horizontal="right"/>
    </xf>
    <xf numFmtId="164" fontId="3" fillId="2" borderId="7" xfId="1" applyNumberFormat="1" applyFont="1" applyFill="1" applyBorder="1" applyAlignment="1">
      <alignment horizontal="right"/>
    </xf>
    <xf numFmtId="0" fontId="6" fillId="7" borderId="0" xfId="0" applyFont="1" applyFill="1" applyAlignment="1">
      <alignment horizontal="center"/>
    </xf>
    <xf numFmtId="166" fontId="3" fillId="2" borderId="0" xfId="1" applyNumberFormat="1" applyFont="1" applyFill="1" applyBorder="1" applyAlignment="1">
      <alignment horizontal="right"/>
    </xf>
    <xf numFmtId="166" fontId="3" fillId="2" borderId="7" xfId="1" applyNumberFormat="1" applyFont="1" applyFill="1" applyBorder="1" applyAlignment="1">
      <alignment horizontal="right"/>
    </xf>
    <xf numFmtId="43" fontId="5" fillId="4" borderId="13" xfId="1" applyFont="1" applyFill="1" applyBorder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242EF-FF2B-4751-9810-8C43E18E9DFB}">
  <dimension ref="A1:P64"/>
  <sheetViews>
    <sheetView topLeftCell="A25" zoomScale="120" zoomScaleNormal="120" workbookViewId="0">
      <selection activeCell="C28" sqref="C28:I35"/>
    </sheetView>
  </sheetViews>
  <sheetFormatPr defaultRowHeight="15"/>
  <cols>
    <col min="1" max="1" width="31" customWidth="1"/>
    <col min="2" max="2" width="9.140625" style="1" bestFit="1" customWidth="1"/>
    <col min="3" max="8" width="8.140625" bestFit="1" customWidth="1"/>
    <col min="9" max="9" width="8.140625" style="53" bestFit="1" customWidth="1"/>
    <col min="11" max="11" width="13.7109375" bestFit="1" customWidth="1"/>
  </cols>
  <sheetData>
    <row r="1" spans="1:9">
      <c r="A1" s="19" t="s">
        <v>0</v>
      </c>
      <c r="B1" s="20"/>
      <c r="C1" s="21" t="s">
        <v>1</v>
      </c>
      <c r="D1" s="21" t="s">
        <v>2</v>
      </c>
      <c r="E1" s="21" t="s">
        <v>3</v>
      </c>
      <c r="F1" s="21" t="s">
        <v>4</v>
      </c>
      <c r="G1" s="21" t="s">
        <v>5</v>
      </c>
      <c r="H1" s="21" t="s">
        <v>6</v>
      </c>
      <c r="I1" s="22" t="s">
        <v>7</v>
      </c>
    </row>
    <row r="2" spans="1:9">
      <c r="A2" s="23" t="s">
        <v>8</v>
      </c>
      <c r="B2" s="24"/>
      <c r="C2" s="25"/>
      <c r="D2" s="25"/>
      <c r="E2" s="25"/>
      <c r="F2" s="25"/>
      <c r="G2" s="25"/>
      <c r="H2" s="25"/>
      <c r="I2" s="26"/>
    </row>
    <row r="3" spans="1:9">
      <c r="A3" s="27" t="s">
        <v>9</v>
      </c>
      <c r="B3" s="28"/>
      <c r="C3" s="25"/>
      <c r="D3" s="25"/>
      <c r="E3" s="25"/>
      <c r="F3" s="25"/>
      <c r="G3" s="25"/>
      <c r="H3" s="25"/>
      <c r="I3" s="26"/>
    </row>
    <row r="4" spans="1:9">
      <c r="A4" s="29" t="s">
        <v>10</v>
      </c>
      <c r="B4" s="30" t="s">
        <v>11</v>
      </c>
      <c r="C4" s="4">
        <f>C6*700/1000000</f>
        <v>29.635200000000001</v>
      </c>
      <c r="D4" s="4">
        <f t="shared" ref="D4:H4" si="0">D6*700/1000000</f>
        <v>15.523199999999999</v>
      </c>
      <c r="E4" s="4">
        <f t="shared" si="0"/>
        <v>11.3568</v>
      </c>
      <c r="F4" s="4">
        <f t="shared" si="0"/>
        <v>10.701599999999999</v>
      </c>
      <c r="G4" s="4">
        <f t="shared" si="0"/>
        <v>5.1744000000000003</v>
      </c>
      <c r="H4" s="4">
        <f t="shared" si="0"/>
        <v>2.6208</v>
      </c>
      <c r="I4" s="31">
        <f t="shared" ref="I4:I6" si="1">SUM(C4:H4)</f>
        <v>75.012000000000015</v>
      </c>
    </row>
    <row r="5" spans="1:9">
      <c r="A5" s="29" t="s">
        <v>12</v>
      </c>
      <c r="B5" s="30" t="s">
        <v>11</v>
      </c>
      <c r="C5" s="4">
        <v>24</v>
      </c>
      <c r="D5" s="4">
        <v>12</v>
      </c>
      <c r="E5" s="4">
        <v>8</v>
      </c>
      <c r="F5" s="4">
        <v>8</v>
      </c>
      <c r="G5" s="4">
        <v>4</v>
      </c>
      <c r="H5" s="4">
        <v>2</v>
      </c>
      <c r="I5" s="31">
        <f t="shared" si="1"/>
        <v>58</v>
      </c>
    </row>
    <row r="6" spans="1:9">
      <c r="A6" s="29" t="s">
        <v>13</v>
      </c>
      <c r="B6" s="30" t="s">
        <v>14</v>
      </c>
      <c r="C6" s="5">
        <f>22176+20160</f>
        <v>42336</v>
      </c>
      <c r="D6" s="5">
        <v>22176</v>
      </c>
      <c r="E6" s="5">
        <v>16224</v>
      </c>
      <c r="F6" s="5">
        <v>15288</v>
      </c>
      <c r="G6" s="5">
        <v>7392</v>
      </c>
      <c r="H6" s="5">
        <v>3744</v>
      </c>
      <c r="I6" s="32">
        <f t="shared" si="1"/>
        <v>107160</v>
      </c>
    </row>
    <row r="7" spans="1:9">
      <c r="A7" s="29" t="s">
        <v>15</v>
      </c>
      <c r="B7" s="30" t="s">
        <v>16</v>
      </c>
      <c r="C7" s="6">
        <v>3.1030000000000002</v>
      </c>
      <c r="D7" s="6">
        <v>3.1030000000000002</v>
      </c>
      <c r="E7" s="6">
        <v>3.1030000000000002</v>
      </c>
      <c r="F7" s="6">
        <v>3.1030000000000002</v>
      </c>
      <c r="G7" s="6">
        <v>3.1030000000000002</v>
      </c>
      <c r="H7" s="6">
        <v>3.1030000000000002</v>
      </c>
      <c r="I7" s="33">
        <v>3.1030000000000002</v>
      </c>
    </row>
    <row r="8" spans="1:9">
      <c r="A8" s="29" t="s">
        <v>17</v>
      </c>
      <c r="B8" s="30" t="s">
        <v>18</v>
      </c>
      <c r="C8" s="5">
        <v>1370</v>
      </c>
      <c r="D8" s="5">
        <v>1457.8</v>
      </c>
      <c r="E8" s="5">
        <v>1490.6</v>
      </c>
      <c r="F8" s="5">
        <v>1485</v>
      </c>
      <c r="G8" s="5">
        <v>1384</v>
      </c>
      <c r="H8" s="5">
        <v>1547</v>
      </c>
      <c r="I8" s="32">
        <f>D8*(C4/I4)+D8*(D4/I4)+E8*(E4/I4)+F8*(F4/I4)+G8*(G4/I4)+H8*(H4/I4)</f>
        <v>1464.6721164613659</v>
      </c>
    </row>
    <row r="9" spans="1:9">
      <c r="A9" s="29" t="s">
        <v>19</v>
      </c>
      <c r="B9" s="30" t="s">
        <v>20</v>
      </c>
      <c r="C9" s="16">
        <v>0.22559999999999999</v>
      </c>
      <c r="D9" s="16">
        <v>0.22559999999999999</v>
      </c>
      <c r="E9" s="16">
        <v>0.22559999999999999</v>
      </c>
      <c r="F9" s="16">
        <v>0.22559999999999999</v>
      </c>
      <c r="G9" s="16">
        <v>0.22559999999999999</v>
      </c>
      <c r="H9" s="16">
        <v>0.22559999999999999</v>
      </c>
      <c r="I9" s="34">
        <v>0.22559999999999999</v>
      </c>
    </row>
    <row r="10" spans="1:9">
      <c r="A10" s="29" t="s">
        <v>21</v>
      </c>
      <c r="B10" s="30" t="s">
        <v>20</v>
      </c>
      <c r="C10" s="7">
        <v>0.1163</v>
      </c>
      <c r="D10" s="7">
        <v>0.1163</v>
      </c>
      <c r="E10" s="7">
        <v>0.1163</v>
      </c>
      <c r="F10" s="7">
        <v>0.1163</v>
      </c>
      <c r="G10" s="7">
        <v>0.1163</v>
      </c>
      <c r="H10" s="7">
        <v>0.1163</v>
      </c>
      <c r="I10" s="41"/>
    </row>
    <row r="11" spans="1:9">
      <c r="A11" s="29" t="s">
        <v>22</v>
      </c>
      <c r="B11" s="35"/>
      <c r="C11" s="36">
        <v>0.05</v>
      </c>
      <c r="D11" s="36">
        <v>0.05</v>
      </c>
      <c r="E11" s="36">
        <v>0.05</v>
      </c>
      <c r="F11" s="36">
        <v>0.05</v>
      </c>
      <c r="G11" s="36">
        <v>0.05</v>
      </c>
      <c r="H11" s="36">
        <v>0.05</v>
      </c>
      <c r="I11" s="37"/>
    </row>
    <row r="12" spans="1:9">
      <c r="A12" s="29"/>
      <c r="B12" s="30"/>
      <c r="C12" s="40"/>
      <c r="D12" s="40"/>
      <c r="E12" s="40"/>
      <c r="F12" s="40"/>
      <c r="G12" s="40"/>
      <c r="H12" s="40"/>
      <c r="I12" s="39"/>
    </row>
    <row r="13" spans="1:9">
      <c r="A13" s="27" t="s">
        <v>23</v>
      </c>
      <c r="B13" s="28"/>
      <c r="C13" s="25"/>
      <c r="D13" s="25"/>
      <c r="E13" s="25"/>
      <c r="F13" s="25"/>
      <c r="G13" s="25"/>
      <c r="H13" s="25"/>
      <c r="I13" s="26"/>
    </row>
    <row r="14" spans="1:9">
      <c r="A14" s="29" t="s">
        <v>24</v>
      </c>
      <c r="B14" s="30" t="s">
        <v>25</v>
      </c>
      <c r="C14" s="4">
        <f>C6*C7*C8*C9/1000000*(1-C11)*(1-C10)*25</f>
        <v>852.15722305155305</v>
      </c>
      <c r="D14" s="4">
        <f t="shared" ref="D14:H14" si="2">D6*D7*D8*D9/1000000*(1-D11)*(1-D10)*25</f>
        <v>474.97472358046923</v>
      </c>
      <c r="E14" s="4">
        <f t="shared" si="2"/>
        <v>355.31078848507718</v>
      </c>
      <c r="F14" s="4">
        <f t="shared" si="2"/>
        <v>333.5542415046682</v>
      </c>
      <c r="G14" s="4">
        <f t="shared" si="2"/>
        <v>150.30983158077683</v>
      </c>
      <c r="H14" s="4">
        <f t="shared" si="2"/>
        <v>85.097243720094312</v>
      </c>
      <c r="I14" s="31">
        <f>SUM(C14:H14)</f>
        <v>2251.4040519226392</v>
      </c>
    </row>
    <row r="15" spans="1:9">
      <c r="A15" s="29" t="s">
        <v>26</v>
      </c>
      <c r="B15" s="30" t="s">
        <v>20</v>
      </c>
      <c r="C15" s="7">
        <v>0.04</v>
      </c>
      <c r="D15" s="7">
        <v>6.3E-2</v>
      </c>
      <c r="E15" s="7">
        <v>6.3E-2</v>
      </c>
      <c r="F15" s="7">
        <v>6.3E-2</v>
      </c>
      <c r="G15" s="7">
        <v>6.3E-2</v>
      </c>
      <c r="H15" s="7">
        <v>0.05</v>
      </c>
      <c r="I15" s="51">
        <f>-I16/I14</f>
        <v>5.3803125595841092E-2</v>
      </c>
    </row>
    <row r="16" spans="1:9">
      <c r="A16" s="29" t="s">
        <v>26</v>
      </c>
      <c r="B16" s="35" t="s">
        <v>25</v>
      </c>
      <c r="C16" s="4">
        <f>C15*C14*-1</f>
        <v>-34.086288922062124</v>
      </c>
      <c r="D16" s="4">
        <f t="shared" ref="D16:H16" si="3">D15*D14*-1</f>
        <v>-29.92340758556956</v>
      </c>
      <c r="E16" s="4">
        <f t="shared" si="3"/>
        <v>-22.384579674559863</v>
      </c>
      <c r="F16" s="4">
        <f t="shared" si="3"/>
        <v>-21.013917214794098</v>
      </c>
      <c r="G16" s="4">
        <f t="shared" si="3"/>
        <v>-9.4695193895889407</v>
      </c>
      <c r="H16" s="4">
        <f t="shared" si="3"/>
        <v>-4.2548621860047158</v>
      </c>
      <c r="I16" s="31">
        <f t="shared" ref="I16:I22" si="4">SUM(C16:H16)</f>
        <v>-121.13257497257929</v>
      </c>
    </row>
    <row r="17" spans="1:16">
      <c r="A17" s="29" t="s">
        <v>27</v>
      </c>
      <c r="B17" s="35" t="s">
        <v>20</v>
      </c>
      <c r="C17" s="7">
        <v>2.0969999999999999E-2</v>
      </c>
      <c r="D17" s="7">
        <v>4.7849999999999997E-2</v>
      </c>
      <c r="E17" s="7">
        <v>3.023E-2</v>
      </c>
      <c r="F17" s="7">
        <v>4.2000000000000003E-2</v>
      </c>
      <c r="G17" s="7">
        <v>4.1250000000000002E-2</v>
      </c>
      <c r="H17" s="7">
        <v>3.3500000000000002E-2</v>
      </c>
      <c r="I17" s="41"/>
    </row>
    <row r="18" spans="1:16">
      <c r="A18" s="29" t="s">
        <v>27</v>
      </c>
      <c r="B18" s="35" t="s">
        <v>25</v>
      </c>
      <c r="C18" s="4">
        <f>-C17*(C14+C16)+0.01</f>
        <v>-17.144947488695422</v>
      </c>
      <c r="D18" s="4">
        <f t="shared" ref="D18" si="5">-D17*(D14+D16)</f>
        <v>-21.295705470355948</v>
      </c>
      <c r="E18" s="4">
        <f>-E17*(E14+E16)+0.01</f>
        <v>-10.054359292341939</v>
      </c>
      <c r="F18" s="4">
        <f>-F17*(F14+F16)-0.05</f>
        <v>-13.176693620174714</v>
      </c>
      <c r="G18" s="4">
        <f>-G17*(G14+G16)-0.01</f>
        <v>-5.8196628778864996</v>
      </c>
      <c r="H18" s="4">
        <f>-H17*(H14+H16)-0.04</f>
        <v>-2.7482197813920015</v>
      </c>
      <c r="I18" s="31">
        <f t="shared" si="4"/>
        <v>-70.239588530846518</v>
      </c>
    </row>
    <row r="19" spans="1:16">
      <c r="A19" s="27" t="s">
        <v>28</v>
      </c>
      <c r="B19" s="30" t="s">
        <v>25</v>
      </c>
      <c r="C19" s="17">
        <f>C14+C16+C18</f>
        <v>800.9259866407956</v>
      </c>
      <c r="D19" s="17">
        <f t="shared" ref="D19:H19" si="6">D14+D16+D18</f>
        <v>423.75561052454373</v>
      </c>
      <c r="E19" s="17">
        <f t="shared" si="6"/>
        <v>322.8718495181754</v>
      </c>
      <c r="F19" s="17">
        <f t="shared" si="6"/>
        <v>299.36363066969938</v>
      </c>
      <c r="G19" s="17">
        <f t="shared" si="6"/>
        <v>135.02064931330139</v>
      </c>
      <c r="H19" s="17">
        <f t="shared" si="6"/>
        <v>78.094161752697602</v>
      </c>
      <c r="I19" s="47">
        <f>SUM(C19:H19)</f>
        <v>2060.0318884192134</v>
      </c>
    </row>
    <row r="20" spans="1:16">
      <c r="A20" s="29" t="s">
        <v>29</v>
      </c>
      <c r="B20" s="30" t="s">
        <v>25</v>
      </c>
      <c r="C20" s="4">
        <f>-9.204-8.839</f>
        <v>-18.042999999999999</v>
      </c>
      <c r="D20" s="4">
        <v>-8.6920000000000002</v>
      </c>
      <c r="E20" s="4">
        <v>-8.6920000000000002</v>
      </c>
      <c r="F20" s="4">
        <v>-7.9619999999999997</v>
      </c>
      <c r="G20" s="4">
        <v>-4.2359999999999998</v>
      </c>
      <c r="H20" s="4">
        <v>-2.6549999999999998</v>
      </c>
      <c r="I20" s="31">
        <f t="shared" si="4"/>
        <v>-50.279999999999994</v>
      </c>
    </row>
    <row r="21" spans="1:16">
      <c r="A21" s="29" t="s">
        <v>30</v>
      </c>
      <c r="B21" s="30" t="s">
        <v>25</v>
      </c>
      <c r="C21" s="4">
        <v>-2.9</v>
      </c>
      <c r="D21" s="4">
        <v>-4.7119999999999997</v>
      </c>
      <c r="E21" s="4">
        <v>-1.948</v>
      </c>
      <c r="F21" s="4">
        <v>-1.3819999999999999</v>
      </c>
      <c r="G21" s="4">
        <v>-0.54400000000000004</v>
      </c>
      <c r="H21" s="4">
        <v>-0.628</v>
      </c>
      <c r="I21" s="31">
        <f>SUM(C21:H21)</f>
        <v>-12.114000000000001</v>
      </c>
    </row>
    <row r="22" spans="1:16">
      <c r="A22" s="27" t="s">
        <v>31</v>
      </c>
      <c r="B22" s="28" t="s">
        <v>25</v>
      </c>
      <c r="C22" s="17">
        <f t="shared" ref="C22:H22" si="7">C19+C20</f>
        <v>782.88298664079559</v>
      </c>
      <c r="D22" s="17">
        <f t="shared" si="7"/>
        <v>415.06361052454372</v>
      </c>
      <c r="E22" s="17">
        <f t="shared" si="7"/>
        <v>314.17984951817539</v>
      </c>
      <c r="F22" s="17">
        <f t="shared" si="7"/>
        <v>291.40163066969939</v>
      </c>
      <c r="G22" s="17">
        <f t="shared" si="7"/>
        <v>130.7846493133014</v>
      </c>
      <c r="H22" s="17">
        <f t="shared" si="7"/>
        <v>75.439161752697601</v>
      </c>
      <c r="I22" s="47">
        <f t="shared" si="4"/>
        <v>2009.7518884192132</v>
      </c>
    </row>
    <row r="23" spans="1:16">
      <c r="A23" s="29" t="s">
        <v>32</v>
      </c>
      <c r="B23" s="30" t="s">
        <v>33</v>
      </c>
      <c r="C23" s="38">
        <f t="shared" ref="C23:I23" si="8">C19/C4/25</f>
        <v>1.0810468451581843</v>
      </c>
      <c r="D23" s="38">
        <f t="shared" si="8"/>
        <v>1.0919284954765609</v>
      </c>
      <c r="E23" s="38">
        <f t="shared" si="8"/>
        <v>1.1371930456402346</v>
      </c>
      <c r="F23" s="38">
        <f t="shared" si="8"/>
        <v>1.1189490568501883</v>
      </c>
      <c r="G23" s="38">
        <f t="shared" si="8"/>
        <v>1.0437588846111732</v>
      </c>
      <c r="H23" s="38">
        <f t="shared" si="8"/>
        <v>1.1919133356638829</v>
      </c>
      <c r="I23" s="54">
        <f t="shared" si="8"/>
        <v>1.098507912557571</v>
      </c>
    </row>
    <row r="24" spans="1:16">
      <c r="A24" s="29"/>
      <c r="B24" s="30"/>
      <c r="C24" s="38"/>
      <c r="D24" s="38"/>
      <c r="E24" s="38"/>
      <c r="F24" s="38"/>
      <c r="G24" s="38"/>
      <c r="H24" s="38"/>
      <c r="I24" s="38"/>
    </row>
    <row r="25" spans="1:16">
      <c r="A25" s="45" t="s">
        <v>34</v>
      </c>
      <c r="B25" s="2"/>
      <c r="C25" s="3" t="s">
        <v>1</v>
      </c>
      <c r="D25" s="3" t="s">
        <v>2</v>
      </c>
      <c r="E25" s="3" t="s">
        <v>3</v>
      </c>
      <c r="F25" s="3" t="s">
        <v>4</v>
      </c>
      <c r="G25" s="3" t="s">
        <v>5</v>
      </c>
      <c r="H25" s="3" t="s">
        <v>6</v>
      </c>
      <c r="I25" s="46" t="s">
        <v>7</v>
      </c>
    </row>
    <row r="26" spans="1:16">
      <c r="A26" s="23" t="s">
        <v>8</v>
      </c>
      <c r="B26" s="30"/>
      <c r="C26" s="4"/>
      <c r="D26" s="6"/>
      <c r="E26" s="6"/>
      <c r="F26" s="6"/>
      <c r="G26" s="6"/>
      <c r="H26" s="6"/>
      <c r="I26" s="33"/>
    </row>
    <row r="27" spans="1:16">
      <c r="A27" s="27" t="s">
        <v>35</v>
      </c>
      <c r="B27" s="28"/>
      <c r="C27" s="17"/>
      <c r="D27" s="17"/>
      <c r="E27" s="17"/>
      <c r="F27" s="17"/>
      <c r="G27" s="17"/>
      <c r="H27" s="17"/>
      <c r="I27" s="17"/>
    </row>
    <row r="28" spans="1:16">
      <c r="A28" s="29" t="s">
        <v>31</v>
      </c>
      <c r="B28" s="30" t="s">
        <v>25</v>
      </c>
      <c r="C28" s="4">
        <f t="shared" ref="C28:H28" si="9">C22</f>
        <v>782.88298664079559</v>
      </c>
      <c r="D28" s="4">
        <f t="shared" si="9"/>
        <v>415.06361052454372</v>
      </c>
      <c r="E28" s="4">
        <f t="shared" si="9"/>
        <v>314.17984951817539</v>
      </c>
      <c r="F28" s="4">
        <f t="shared" si="9"/>
        <v>291.40163066969939</v>
      </c>
      <c r="G28" s="4">
        <f t="shared" si="9"/>
        <v>130.7846493133014</v>
      </c>
      <c r="H28" s="4">
        <f t="shared" si="9"/>
        <v>75.439161752697601</v>
      </c>
      <c r="I28" s="31">
        <f t="shared" ref="I28:I35" si="10">SUM(C28:H28)</f>
        <v>2009.7518884192132</v>
      </c>
    </row>
    <row r="29" spans="1:16">
      <c r="A29" s="29" t="s">
        <v>36</v>
      </c>
      <c r="B29" s="30" t="s">
        <v>25</v>
      </c>
      <c r="C29" s="4">
        <f>-1.866-1.84</f>
        <v>-3.7060000000000004</v>
      </c>
      <c r="D29" s="4">
        <v>-10.506</v>
      </c>
      <c r="E29" s="4">
        <v>-27.387</v>
      </c>
      <c r="F29" s="4">
        <v>-26.24</v>
      </c>
      <c r="G29" s="4">
        <v>-11.996</v>
      </c>
      <c r="H29" s="4">
        <v>-7.883</v>
      </c>
      <c r="I29" s="31">
        <f>SUM(C29:H29)</f>
        <v>-87.717999999999989</v>
      </c>
      <c r="K29" s="52"/>
      <c r="L29" s="52"/>
      <c r="M29" s="52"/>
      <c r="N29" s="52"/>
      <c r="O29" s="52"/>
      <c r="P29" s="52"/>
    </row>
    <row r="30" spans="1:16">
      <c r="A30" s="29" t="s">
        <v>37</v>
      </c>
      <c r="B30" s="30" t="s">
        <v>25</v>
      </c>
      <c r="C30" s="4">
        <f>0.144*C29</f>
        <v>-0.53366400000000003</v>
      </c>
      <c r="D30" s="4">
        <f t="shared" ref="D30:H30" si="11">0.144*D29</f>
        <v>-1.512864</v>
      </c>
      <c r="E30" s="4">
        <f t="shared" si="11"/>
        <v>-3.9437279999999997</v>
      </c>
      <c r="F30" s="4">
        <f t="shared" si="11"/>
        <v>-3.7785599999999997</v>
      </c>
      <c r="G30" s="4">
        <f t="shared" si="11"/>
        <v>-1.7274239999999998</v>
      </c>
      <c r="H30" s="4">
        <f t="shared" si="11"/>
        <v>-1.1351519999999999</v>
      </c>
      <c r="I30" s="31">
        <f>SUM(C30:H30)</f>
        <v>-12.631391999999998</v>
      </c>
    </row>
    <row r="31" spans="1:16">
      <c r="A31" s="29" t="s">
        <v>38</v>
      </c>
      <c r="B31" s="30" t="s">
        <v>25</v>
      </c>
      <c r="C31" s="4">
        <f>-C29+C30</f>
        <v>3.1723360000000005</v>
      </c>
      <c r="D31" s="4">
        <f t="shared" ref="D31:H31" si="12">-D29+D30</f>
        <v>8.9931359999999998</v>
      </c>
      <c r="E31" s="4">
        <f t="shared" si="12"/>
        <v>23.443272</v>
      </c>
      <c r="F31" s="4">
        <f t="shared" si="12"/>
        <v>22.46144</v>
      </c>
      <c r="G31" s="4">
        <f t="shared" si="12"/>
        <v>10.268576000000001</v>
      </c>
      <c r="H31" s="4">
        <f t="shared" si="12"/>
        <v>6.7478480000000003</v>
      </c>
      <c r="I31" s="31">
        <f>SUM(C31:H31)</f>
        <v>75.086607999999998</v>
      </c>
    </row>
    <row r="32" spans="1:16">
      <c r="A32" s="29" t="s">
        <v>39</v>
      </c>
      <c r="B32" s="30" t="s">
        <v>25</v>
      </c>
      <c r="C32" s="4">
        <f>406.597+373.111</f>
        <v>779.70799999999997</v>
      </c>
      <c r="D32" s="4">
        <v>406.06700000000001</v>
      </c>
      <c r="E32" s="4">
        <v>290.738</v>
      </c>
      <c r="F32" s="4">
        <v>268.94400000000002</v>
      </c>
      <c r="G32" s="4">
        <v>120.51300000000001</v>
      </c>
      <c r="H32" s="4">
        <v>68.691999999999993</v>
      </c>
      <c r="I32" s="31">
        <f>SUM(C32:H32)</f>
        <v>1934.662</v>
      </c>
    </row>
    <row r="33" spans="1:11">
      <c r="A33" s="27" t="s">
        <v>35</v>
      </c>
      <c r="B33" s="28" t="s">
        <v>25</v>
      </c>
      <c r="C33" s="17">
        <f>C31+C32</f>
        <v>782.88033599999994</v>
      </c>
      <c r="D33" s="17">
        <f t="shared" ref="D33:H33" si="13">D31+D32</f>
        <v>415.060136</v>
      </c>
      <c r="E33" s="17">
        <f t="shared" si="13"/>
        <v>314.18127199999998</v>
      </c>
      <c r="F33" s="17">
        <f t="shared" si="13"/>
        <v>291.40544</v>
      </c>
      <c r="G33" s="17">
        <f t="shared" si="13"/>
        <v>130.781576</v>
      </c>
      <c r="H33" s="17">
        <f t="shared" si="13"/>
        <v>75.439847999999998</v>
      </c>
      <c r="I33" s="47">
        <f t="shared" ref="I33" si="14">SUM(C33:H33)</f>
        <v>2009.7486080000001</v>
      </c>
    </row>
    <row r="34" spans="1:11">
      <c r="A34" s="29" t="s">
        <v>40</v>
      </c>
      <c r="B34" s="48" t="s">
        <v>41</v>
      </c>
      <c r="C34" s="10">
        <v>168.94045710771474</v>
      </c>
      <c r="D34" s="10">
        <v>170.49562001650503</v>
      </c>
      <c r="E34" s="10">
        <v>191.57118775643207</v>
      </c>
      <c r="F34" s="10">
        <v>196.3237656056954</v>
      </c>
      <c r="G34" s="10">
        <v>238.48734238881974</v>
      </c>
      <c r="H34" s="10">
        <v>244.75775923706246</v>
      </c>
      <c r="I34" s="49">
        <f>I35*1000000/(I33*1000)</f>
        <v>184.14155231991751</v>
      </c>
    </row>
    <row r="35" spans="1:11">
      <c r="A35" s="29" t="s">
        <v>42</v>
      </c>
      <c r="B35" s="30" t="s">
        <v>43</v>
      </c>
      <c r="C35" s="4">
        <f t="shared" ref="C35:H35" si="15">C33*C34/1000</f>
        <v>132.26016182448129</v>
      </c>
      <c r="D35" s="4">
        <f t="shared" si="15"/>
        <v>70.765935231454904</v>
      </c>
      <c r="E35" s="4">
        <f t="shared" si="15"/>
        <v>60.188079447866649</v>
      </c>
      <c r="F35" s="4">
        <f t="shared" si="15"/>
        <v>57.209813298784532</v>
      </c>
      <c r="G35" s="4">
        <f t="shared" si="15"/>
        <v>31.18975049366145</v>
      </c>
      <c r="H35" s="4">
        <f t="shared" si="15"/>
        <v>18.46448815366459</v>
      </c>
      <c r="I35" s="33">
        <f t="shared" si="10"/>
        <v>370.07822844991341</v>
      </c>
    </row>
    <row r="36" spans="1:11">
      <c r="A36" s="27"/>
      <c r="B36" s="28"/>
      <c r="C36" s="7"/>
      <c r="D36" s="7"/>
      <c r="E36" s="7"/>
      <c r="F36" s="7"/>
      <c r="G36" s="7"/>
      <c r="H36" s="7"/>
      <c r="I36" s="51"/>
    </row>
    <row r="37" spans="1:11">
      <c r="A37" s="27" t="s">
        <v>44</v>
      </c>
      <c r="B37" s="28"/>
      <c r="C37" s="11"/>
      <c r="D37" s="6"/>
      <c r="E37" s="6"/>
      <c r="F37" s="6"/>
      <c r="G37" s="6"/>
      <c r="H37" s="6"/>
      <c r="I37" s="33"/>
    </row>
    <row r="38" spans="1:11">
      <c r="A38" s="29" t="s">
        <v>45</v>
      </c>
      <c r="B38" s="30" t="s">
        <v>25</v>
      </c>
      <c r="C38" s="4">
        <f>50.04+49.362</f>
        <v>99.402000000000001</v>
      </c>
      <c r="D38" s="4">
        <v>70.659000000000006</v>
      </c>
      <c r="E38" s="4">
        <v>68.63</v>
      </c>
      <c r="F38" s="4">
        <v>66.536000000000001</v>
      </c>
      <c r="G38" s="4">
        <v>40.241999999999997</v>
      </c>
      <c r="H38" s="4">
        <v>20.251000000000001</v>
      </c>
      <c r="I38" s="31">
        <f t="shared" ref="I38:I41" si="16">SUM(C38:H38)</f>
        <v>365.71999999999997</v>
      </c>
    </row>
    <row r="39" spans="1:11">
      <c r="A39" s="29" t="s">
        <v>46</v>
      </c>
      <c r="B39" s="48" t="s">
        <v>41</v>
      </c>
      <c r="C39" s="4">
        <f>'2028-2029'!C45*(1.0175^12.5)</f>
        <v>145.45783485273301</v>
      </c>
      <c r="D39" s="4">
        <f>'2028-2029'!D45*(1.0175^12.5)</f>
        <v>159.37011282327626</v>
      </c>
      <c r="E39" s="4">
        <f>'2028-2029'!E45*(1.0175^12.5)</f>
        <v>155.64360979545216</v>
      </c>
      <c r="F39" s="4">
        <f>'2028-2029'!F45*(1.0175^12.5)</f>
        <v>156.1404768658287</v>
      </c>
      <c r="G39" s="4">
        <f>'2028-2029'!G45*(1.0175^12.5)</f>
        <v>175.50338659840261</v>
      </c>
      <c r="H39" s="4">
        <f>'2028-2029'!H45*(1.0175^12.5)</f>
        <v>175.50338659840261</v>
      </c>
      <c r="I39" s="31">
        <f>I40*1000/I38</f>
        <v>156.9704762564669</v>
      </c>
    </row>
    <row r="40" spans="1:11">
      <c r="A40" s="29" t="s">
        <v>47</v>
      </c>
      <c r="B40" s="30" t="s">
        <v>43</v>
      </c>
      <c r="C40" s="6">
        <f>C38*C39/1000</f>
        <v>14.458799700031369</v>
      </c>
      <c r="D40" s="6">
        <f t="shared" ref="D40:H40" si="17">D38*D39/1000</f>
        <v>11.260932801979878</v>
      </c>
      <c r="E40" s="6">
        <f t="shared" si="17"/>
        <v>10.681820940261881</v>
      </c>
      <c r="F40" s="6">
        <f t="shared" si="17"/>
        <v>10.388962768744779</v>
      </c>
      <c r="G40" s="6">
        <f t="shared" si="17"/>
        <v>7.062607283492917</v>
      </c>
      <c r="H40" s="6">
        <f t="shared" si="17"/>
        <v>3.5541190820042514</v>
      </c>
      <c r="I40" s="31">
        <f t="shared" si="16"/>
        <v>57.407242576515067</v>
      </c>
    </row>
    <row r="41" spans="1:11">
      <c r="A41" s="29" t="s">
        <v>48</v>
      </c>
      <c r="B41" s="30" t="s">
        <v>25</v>
      </c>
      <c r="C41" s="6">
        <f t="shared" ref="C41:H41" si="18">C20</f>
        <v>-18.042999999999999</v>
      </c>
      <c r="D41" s="6">
        <f t="shared" si="18"/>
        <v>-8.6920000000000002</v>
      </c>
      <c r="E41" s="6">
        <f t="shared" si="18"/>
        <v>-8.6920000000000002</v>
      </c>
      <c r="F41" s="6">
        <f t="shared" si="18"/>
        <v>-7.9619999999999997</v>
      </c>
      <c r="G41" s="6">
        <f t="shared" si="18"/>
        <v>-4.2359999999999998</v>
      </c>
      <c r="H41" s="6">
        <f t="shared" si="18"/>
        <v>-2.6549999999999998</v>
      </c>
      <c r="I41" s="31">
        <f t="shared" si="16"/>
        <v>-50.279999999999994</v>
      </c>
    </row>
    <row r="42" spans="1:11">
      <c r="A42" s="29" t="s">
        <v>49</v>
      </c>
      <c r="B42" s="30" t="s">
        <v>25</v>
      </c>
      <c r="C42" s="4">
        <f>C38+C41</f>
        <v>81.359000000000009</v>
      </c>
      <c r="D42" s="4">
        <f t="shared" ref="D42:H42" si="19">D38+D41</f>
        <v>61.967000000000006</v>
      </c>
      <c r="E42" s="4">
        <f t="shared" si="19"/>
        <v>59.937999999999995</v>
      </c>
      <c r="F42" s="4">
        <f t="shared" si="19"/>
        <v>58.573999999999998</v>
      </c>
      <c r="G42" s="4">
        <f t="shared" si="19"/>
        <v>36.006</v>
      </c>
      <c r="H42" s="4">
        <f t="shared" si="19"/>
        <v>17.596</v>
      </c>
      <c r="I42" s="31">
        <f t="shared" ref="I42:I45" si="20">SUM(C42:H42)</f>
        <v>315.44000000000005</v>
      </c>
    </row>
    <row r="43" spans="1:11">
      <c r="A43" s="29" t="s">
        <v>50</v>
      </c>
      <c r="B43" s="30" t="s">
        <v>25</v>
      </c>
      <c r="C43" s="4">
        <f>C42*0.144*-1</f>
        <v>-11.715696000000001</v>
      </c>
      <c r="D43" s="4">
        <f>D42*0.144*-1</f>
        <v>-8.923248000000001</v>
      </c>
      <c r="E43" s="4">
        <f t="shared" ref="E43:H43" si="21">E42*0.144*-1</f>
        <v>-8.6310719999999979</v>
      </c>
      <c r="F43" s="4">
        <f t="shared" si="21"/>
        <v>-8.4346559999999986</v>
      </c>
      <c r="G43" s="4">
        <f t="shared" si="21"/>
        <v>-5.1848639999999993</v>
      </c>
      <c r="H43" s="4">
        <f t="shared" si="21"/>
        <v>-2.5338239999999996</v>
      </c>
      <c r="I43" s="31">
        <f t="shared" si="20"/>
        <v>-45.423359999999995</v>
      </c>
    </row>
    <row r="44" spans="1:11">
      <c r="A44" s="29" t="s">
        <v>48</v>
      </c>
      <c r="B44" s="30" t="s">
        <v>25</v>
      </c>
      <c r="C44" s="4">
        <v>-15.773</v>
      </c>
      <c r="D44" s="4">
        <v>-7.4640000000000004</v>
      </c>
      <c r="E44" s="4">
        <f t="shared" ref="E44:H44" si="22">E41</f>
        <v>-8.6920000000000002</v>
      </c>
      <c r="F44" s="4">
        <f t="shared" si="22"/>
        <v>-7.9619999999999997</v>
      </c>
      <c r="G44" s="4">
        <f t="shared" si="22"/>
        <v>-4.2359999999999998</v>
      </c>
      <c r="H44" s="4">
        <f t="shared" si="22"/>
        <v>-2.6549999999999998</v>
      </c>
      <c r="I44" s="31">
        <f t="shared" ref="I44" si="23">SUM(C44:H44)</f>
        <v>-46.782000000000004</v>
      </c>
    </row>
    <row r="45" spans="1:11">
      <c r="A45" s="27" t="s">
        <v>51</v>
      </c>
      <c r="B45" s="28" t="s">
        <v>25</v>
      </c>
      <c r="C45" s="17">
        <f>SUM(C42:C44)</f>
        <v>53.870304000000004</v>
      </c>
      <c r="D45" s="17">
        <f t="shared" ref="D45:H45" si="24">SUM(D42:D44)</f>
        <v>45.579752000000006</v>
      </c>
      <c r="E45" s="17">
        <f t="shared" si="24"/>
        <v>42.614927999999999</v>
      </c>
      <c r="F45" s="17">
        <f t="shared" si="24"/>
        <v>42.177344000000005</v>
      </c>
      <c r="G45" s="17">
        <f t="shared" si="24"/>
        <v>26.585136000000002</v>
      </c>
      <c r="H45" s="17">
        <f t="shared" si="24"/>
        <v>12.407176000000002</v>
      </c>
      <c r="I45" s="47">
        <f t="shared" si="20"/>
        <v>223.23464000000001</v>
      </c>
    </row>
    <row r="46" spans="1:11">
      <c r="A46" s="29" t="s">
        <v>52</v>
      </c>
      <c r="B46" s="48" t="s">
        <v>41</v>
      </c>
      <c r="C46" s="10">
        <f>C34</f>
        <v>168.94045710771474</v>
      </c>
      <c r="D46" s="10">
        <f t="shared" ref="D46:I46" si="25">D34</f>
        <v>170.49562001650503</v>
      </c>
      <c r="E46" s="10">
        <f t="shared" si="25"/>
        <v>191.57118775643207</v>
      </c>
      <c r="F46" s="10">
        <f t="shared" si="25"/>
        <v>196.3237656056954</v>
      </c>
      <c r="G46" s="10">
        <f t="shared" si="25"/>
        <v>238.48734238881974</v>
      </c>
      <c r="H46" s="10">
        <f t="shared" si="25"/>
        <v>244.75775923706246</v>
      </c>
      <c r="I46" s="49">
        <f t="shared" si="25"/>
        <v>184.14155231991751</v>
      </c>
      <c r="K46" s="52"/>
    </row>
    <row r="47" spans="1:11">
      <c r="A47" s="29" t="s">
        <v>42</v>
      </c>
      <c r="B47" s="30" t="s">
        <v>43</v>
      </c>
      <c r="C47" s="4">
        <f>C45*C46/1000</f>
        <v>9.1008737822915542</v>
      </c>
      <c r="D47" s="4">
        <f t="shared" ref="D47:H47" si="26">D45*D46/1000</f>
        <v>7.7711480774385366</v>
      </c>
      <c r="E47" s="4">
        <f t="shared" si="26"/>
        <v>8.1637923731148341</v>
      </c>
      <c r="F47" s="4">
        <f t="shared" si="26"/>
        <v>8.2804149973267851</v>
      </c>
      <c r="G47" s="4">
        <f t="shared" si="26"/>
        <v>6.3402184316853383</v>
      </c>
      <c r="H47" s="4">
        <f t="shared" si="26"/>
        <v>3.03675259621986</v>
      </c>
      <c r="I47" s="31">
        <f>SUM(C47:H47)</f>
        <v>42.693200258076907</v>
      </c>
    </row>
    <row r="48" spans="1:11">
      <c r="A48" s="27" t="s">
        <v>53</v>
      </c>
      <c r="B48" s="30" t="s">
        <v>25</v>
      </c>
      <c r="C48" s="11">
        <f>C31+C45</f>
        <v>57.042640000000006</v>
      </c>
      <c r="D48" s="11">
        <f t="shared" ref="D48:H48" si="27">D31+D45</f>
        <v>54.572888000000006</v>
      </c>
      <c r="E48" s="11">
        <f t="shared" si="27"/>
        <v>66.058199999999999</v>
      </c>
      <c r="F48" s="11">
        <f t="shared" si="27"/>
        <v>64.638784000000001</v>
      </c>
      <c r="G48" s="11">
        <f t="shared" si="27"/>
        <v>36.853712000000002</v>
      </c>
      <c r="H48" s="11">
        <f t="shared" si="27"/>
        <v>19.155024000000001</v>
      </c>
      <c r="I48" s="31">
        <f>SUM(C48:H48)</f>
        <v>298.32124800000008</v>
      </c>
    </row>
    <row r="49" spans="1:9">
      <c r="A49" s="27" t="s">
        <v>54</v>
      </c>
      <c r="B49" s="30" t="s">
        <v>25</v>
      </c>
      <c r="C49" s="17">
        <f t="shared" ref="C49:H49" si="28">C45+C33</f>
        <v>836.75063999999998</v>
      </c>
      <c r="D49" s="17">
        <f t="shared" si="28"/>
        <v>460.63988799999998</v>
      </c>
      <c r="E49" s="17">
        <f t="shared" si="28"/>
        <v>356.7962</v>
      </c>
      <c r="F49" s="17">
        <f t="shared" si="28"/>
        <v>333.582784</v>
      </c>
      <c r="G49" s="17">
        <f t="shared" si="28"/>
        <v>157.36671200000001</v>
      </c>
      <c r="H49" s="17">
        <f t="shared" si="28"/>
        <v>87.847024000000005</v>
      </c>
      <c r="I49" s="47">
        <f>SUM(C49:H49)</f>
        <v>2232.983248</v>
      </c>
    </row>
    <row r="50" spans="1:9">
      <c r="A50" s="29" t="s">
        <v>55</v>
      </c>
      <c r="B50" s="30" t="s">
        <v>25</v>
      </c>
      <c r="C50" s="4">
        <f t="shared" ref="C50:H50" si="29">C32</f>
        <v>779.70799999999997</v>
      </c>
      <c r="D50" s="4">
        <f t="shared" si="29"/>
        <v>406.06700000000001</v>
      </c>
      <c r="E50" s="4">
        <f t="shared" si="29"/>
        <v>290.738</v>
      </c>
      <c r="F50" s="4">
        <f t="shared" si="29"/>
        <v>268.94400000000002</v>
      </c>
      <c r="G50" s="4">
        <f t="shared" si="29"/>
        <v>120.51300000000001</v>
      </c>
      <c r="H50" s="4">
        <f t="shared" si="29"/>
        <v>68.691999999999993</v>
      </c>
      <c r="I50" s="47">
        <f t="shared" ref="I50:I52" si="30">SUM(C50:H50)</f>
        <v>1934.662</v>
      </c>
    </row>
    <row r="51" spans="1:9">
      <c r="A51" s="29" t="s">
        <v>56</v>
      </c>
      <c r="B51" s="30" t="s">
        <v>25</v>
      </c>
      <c r="C51" s="4">
        <f t="shared" ref="C51:H51" si="31">C31</f>
        <v>3.1723360000000005</v>
      </c>
      <c r="D51" s="4">
        <f t="shared" si="31"/>
        <v>8.9931359999999998</v>
      </c>
      <c r="E51" s="4">
        <f t="shared" si="31"/>
        <v>23.443272</v>
      </c>
      <c r="F51" s="4">
        <f t="shared" si="31"/>
        <v>22.46144</v>
      </c>
      <c r="G51" s="4">
        <f t="shared" si="31"/>
        <v>10.268576000000001</v>
      </c>
      <c r="H51" s="4">
        <f t="shared" si="31"/>
        <v>6.7478480000000003</v>
      </c>
      <c r="I51" s="47">
        <f t="shared" si="30"/>
        <v>75.086607999999998</v>
      </c>
    </row>
    <row r="52" spans="1:9">
      <c r="A52" s="29" t="s">
        <v>57</v>
      </c>
      <c r="B52" s="30" t="s">
        <v>25</v>
      </c>
      <c r="C52" s="4">
        <f t="shared" ref="C52:H52" si="32">C45</f>
        <v>53.870304000000004</v>
      </c>
      <c r="D52" s="4">
        <f t="shared" si="32"/>
        <v>45.579752000000006</v>
      </c>
      <c r="E52" s="4">
        <f t="shared" si="32"/>
        <v>42.614927999999999</v>
      </c>
      <c r="F52" s="4">
        <f t="shared" si="32"/>
        <v>42.177344000000005</v>
      </c>
      <c r="G52" s="4">
        <f t="shared" si="32"/>
        <v>26.585136000000002</v>
      </c>
      <c r="H52" s="4">
        <f t="shared" si="32"/>
        <v>12.407176000000002</v>
      </c>
      <c r="I52" s="47">
        <f t="shared" si="30"/>
        <v>223.23464000000001</v>
      </c>
    </row>
    <row r="53" spans="1:9">
      <c r="A53" s="29" t="s">
        <v>58</v>
      </c>
      <c r="B53" s="30" t="s">
        <v>43</v>
      </c>
      <c r="C53" s="4">
        <f t="shared" ref="C53:H53" si="33">C47+C35</f>
        <v>141.36103560677284</v>
      </c>
      <c r="D53" s="4">
        <f t="shared" si="33"/>
        <v>78.537083308893443</v>
      </c>
      <c r="E53" s="4">
        <f t="shared" si="33"/>
        <v>68.351871820981486</v>
      </c>
      <c r="F53" s="4">
        <f t="shared" si="33"/>
        <v>65.490228296111312</v>
      </c>
      <c r="G53" s="4">
        <f t="shared" si="33"/>
        <v>37.529968925346786</v>
      </c>
      <c r="H53" s="4">
        <f t="shared" si="33"/>
        <v>21.501240749884449</v>
      </c>
      <c r="I53" s="31">
        <f>SUM(C53:H53)</f>
        <v>412.77142870799031</v>
      </c>
    </row>
    <row r="54" spans="1:9">
      <c r="A54" s="27" t="s">
        <v>59</v>
      </c>
      <c r="B54" s="28" t="s">
        <v>43</v>
      </c>
      <c r="C54" s="15">
        <f t="shared" ref="C54:I54" si="34">C53-C40</f>
        <v>126.90223590674148</v>
      </c>
      <c r="D54" s="15">
        <f t="shared" si="34"/>
        <v>67.276150506913567</v>
      </c>
      <c r="E54" s="15">
        <f t="shared" si="34"/>
        <v>57.670050880719607</v>
      </c>
      <c r="F54" s="15">
        <f t="shared" si="34"/>
        <v>55.101265527366536</v>
      </c>
      <c r="G54" s="15">
        <f t="shared" si="34"/>
        <v>30.46736164185387</v>
      </c>
      <c r="H54" s="15">
        <f t="shared" si="34"/>
        <v>17.947121667880197</v>
      </c>
      <c r="I54" s="42">
        <f t="shared" si="34"/>
        <v>355.36418613147526</v>
      </c>
    </row>
    <row r="55" spans="1:9">
      <c r="A55" s="29" t="s">
        <v>60</v>
      </c>
      <c r="B55" s="48" t="s">
        <v>41</v>
      </c>
      <c r="C55" s="10">
        <f>C54/C49*1000</f>
        <v>151.66075750684993</v>
      </c>
      <c r="D55" s="10">
        <f t="shared" ref="D55:I55" si="35">D54/D49*1000</f>
        <v>146.04933758344777</v>
      </c>
      <c r="E55" s="10">
        <f t="shared" si="35"/>
        <v>161.63302995020575</v>
      </c>
      <c r="F55" s="10">
        <f t="shared" si="35"/>
        <v>165.1801836612963</v>
      </c>
      <c r="G55" s="10">
        <f t="shared" si="35"/>
        <v>193.60741070737927</v>
      </c>
      <c r="H55" s="10">
        <f t="shared" si="35"/>
        <v>204.29971159728979</v>
      </c>
      <c r="I55" s="49">
        <f t="shared" si="35"/>
        <v>159.14323873668184</v>
      </c>
    </row>
    <row r="56" spans="1:9" ht="15.75" thickBot="1">
      <c r="A56" s="29" t="s">
        <v>61</v>
      </c>
      <c r="B56" s="48" t="s">
        <v>41</v>
      </c>
      <c r="C56" s="74">
        <f>C55/(1.0175^12.5)</f>
        <v>122.09362749027913</v>
      </c>
      <c r="D56" s="74">
        <f t="shared" ref="D56:I56" si="36">D55/(1.0175^12.5)</f>
        <v>117.57618589838644</v>
      </c>
      <c r="E56" s="74">
        <f t="shared" si="36"/>
        <v>130.12174852136175</v>
      </c>
      <c r="F56" s="74">
        <f t="shared" si="36"/>
        <v>132.97736437725044</v>
      </c>
      <c r="G56" s="74">
        <f t="shared" si="36"/>
        <v>155.86254131162835</v>
      </c>
      <c r="H56" s="74">
        <f t="shared" si="36"/>
        <v>164.47031713529685</v>
      </c>
      <c r="I56" s="74">
        <f t="shared" si="36"/>
        <v>128.11735631107734</v>
      </c>
    </row>
    <row r="57" spans="1:9">
      <c r="B57"/>
      <c r="C57" s="52"/>
    </row>
    <row r="58" spans="1:9">
      <c r="B58"/>
    </row>
    <row r="59" spans="1:9">
      <c r="B59"/>
    </row>
    <row r="60" spans="1:9">
      <c r="B60"/>
    </row>
    <row r="61" spans="1:9">
      <c r="B61"/>
    </row>
    <row r="62" spans="1:9">
      <c r="B62"/>
    </row>
    <row r="63" spans="1:9">
      <c r="B63"/>
    </row>
    <row r="64" spans="1:9">
      <c r="B6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38BBB-2B00-4E84-890A-233E9415F1EA}">
  <dimension ref="A1:L62"/>
  <sheetViews>
    <sheetView tabSelected="1" zoomScale="118" zoomScaleNormal="118" workbookViewId="0">
      <selection activeCell="L9" sqref="L9"/>
    </sheetView>
  </sheetViews>
  <sheetFormatPr defaultRowHeight="15"/>
  <cols>
    <col min="1" max="1" width="28" customWidth="1"/>
    <col min="3" max="9" width="8.140625" bestFit="1" customWidth="1"/>
  </cols>
  <sheetData>
    <row r="1" spans="1:12">
      <c r="A1" s="19" t="s">
        <v>62</v>
      </c>
      <c r="B1" s="20"/>
      <c r="C1" s="21" t="s">
        <v>1</v>
      </c>
      <c r="D1" s="21" t="s">
        <v>2</v>
      </c>
      <c r="E1" s="21" t="s">
        <v>3</v>
      </c>
      <c r="F1" s="21" t="s">
        <v>4</v>
      </c>
      <c r="G1" s="21" t="s">
        <v>5</v>
      </c>
      <c r="H1" s="21" t="s">
        <v>6</v>
      </c>
      <c r="I1" s="22" t="s">
        <v>7</v>
      </c>
    </row>
    <row r="2" spans="1:12">
      <c r="A2" s="23" t="s">
        <v>8</v>
      </c>
      <c r="B2" s="24"/>
      <c r="C2" s="25"/>
      <c r="D2" s="25"/>
      <c r="E2" s="25"/>
      <c r="F2" s="25"/>
      <c r="G2" s="25"/>
      <c r="H2" s="25"/>
      <c r="I2" s="26"/>
    </row>
    <row r="3" spans="1:12">
      <c r="A3" s="27" t="s">
        <v>9</v>
      </c>
      <c r="B3" s="28"/>
      <c r="C3" s="25"/>
      <c r="D3" s="25"/>
      <c r="E3" s="25"/>
      <c r="F3" s="25"/>
      <c r="G3" s="25"/>
      <c r="H3" s="25"/>
      <c r="I3" s="26"/>
    </row>
    <row r="4" spans="1:12">
      <c r="A4" s="29" t="s">
        <v>10</v>
      </c>
      <c r="B4" s="30" t="s">
        <v>11</v>
      </c>
      <c r="C4" s="4">
        <f>C6*700/1000000</f>
        <v>29.635200000000001</v>
      </c>
      <c r="D4" s="4">
        <f t="shared" ref="D4:H4" si="0">D6*700/1000000</f>
        <v>15.523199999999999</v>
      </c>
      <c r="E4" s="4">
        <f t="shared" si="0"/>
        <v>11.3568</v>
      </c>
      <c r="F4" s="4">
        <f t="shared" si="0"/>
        <v>10.701599999999999</v>
      </c>
      <c r="G4" s="4">
        <f t="shared" si="0"/>
        <v>5.1744000000000003</v>
      </c>
      <c r="H4" s="4">
        <f t="shared" si="0"/>
        <v>2.6208</v>
      </c>
      <c r="I4" s="31">
        <f t="shared" ref="I4:I6" si="1">SUM(C4:H4)</f>
        <v>75.012000000000015</v>
      </c>
    </row>
    <row r="5" spans="1:12">
      <c r="A5" s="29" t="s">
        <v>12</v>
      </c>
      <c r="B5" s="30" t="s">
        <v>11</v>
      </c>
      <c r="C5" s="4">
        <v>24</v>
      </c>
      <c r="D5" s="4">
        <v>12</v>
      </c>
      <c r="E5" s="4">
        <v>8</v>
      </c>
      <c r="F5" s="4">
        <v>8</v>
      </c>
      <c r="G5" s="4">
        <v>4</v>
      </c>
      <c r="H5" s="4">
        <v>2</v>
      </c>
      <c r="I5" s="31">
        <f t="shared" si="1"/>
        <v>58</v>
      </c>
    </row>
    <row r="6" spans="1:12">
      <c r="A6" s="29" t="s">
        <v>13</v>
      </c>
      <c r="B6" s="30" t="s">
        <v>14</v>
      </c>
      <c r="C6" s="5">
        <f>22176+20160</f>
        <v>42336</v>
      </c>
      <c r="D6" s="5">
        <v>22176</v>
      </c>
      <c r="E6" s="5">
        <v>16224</v>
      </c>
      <c r="F6" s="5">
        <v>15288</v>
      </c>
      <c r="G6" s="5">
        <v>7392</v>
      </c>
      <c r="H6" s="5">
        <v>3744</v>
      </c>
      <c r="I6" s="32">
        <f t="shared" si="1"/>
        <v>107160</v>
      </c>
    </row>
    <row r="7" spans="1:12">
      <c r="A7" s="29" t="s">
        <v>15</v>
      </c>
      <c r="B7" s="30" t="s">
        <v>16</v>
      </c>
      <c r="C7" s="6">
        <v>3.1030000000000002</v>
      </c>
      <c r="D7" s="6">
        <v>3.1030000000000002</v>
      </c>
      <c r="E7" s="6">
        <v>3.1030000000000002</v>
      </c>
      <c r="F7" s="6">
        <v>3.1030000000000002</v>
      </c>
      <c r="G7" s="6">
        <v>3.1030000000000002</v>
      </c>
      <c r="H7" s="6">
        <v>3.1030000000000002</v>
      </c>
      <c r="I7" s="33">
        <v>3.1030000000000002</v>
      </c>
    </row>
    <row r="8" spans="1:12">
      <c r="A8" s="29" t="s">
        <v>17</v>
      </c>
      <c r="B8" s="30" t="s">
        <v>18</v>
      </c>
      <c r="C8" s="5">
        <v>1370</v>
      </c>
      <c r="D8" s="5">
        <v>1457.8</v>
      </c>
      <c r="E8" s="5">
        <v>1490.6</v>
      </c>
      <c r="F8" s="5">
        <v>1485</v>
      </c>
      <c r="G8" s="5">
        <v>1384</v>
      </c>
      <c r="H8" s="5">
        <v>1547</v>
      </c>
      <c r="I8" s="32">
        <f>D8*(C4/I4)+D8*(D4/I4)+E8*(E4/I4)+F8*(F4/I4)+G8*(G4/I4)+H8*(H4/I4)</f>
        <v>1464.6721164613659</v>
      </c>
      <c r="L8">
        <f>4.073*3</f>
        <v>12.219000000000001</v>
      </c>
    </row>
    <row r="9" spans="1:12">
      <c r="A9" s="29" t="s">
        <v>19</v>
      </c>
      <c r="B9" s="30" t="s">
        <v>20</v>
      </c>
      <c r="C9" s="16">
        <v>0.22559999999999999</v>
      </c>
      <c r="D9" s="16">
        <v>0.22559999999999999</v>
      </c>
      <c r="E9" s="16">
        <v>0.22559999999999999</v>
      </c>
      <c r="F9" s="16">
        <v>0.22559999999999999</v>
      </c>
      <c r="G9" s="16">
        <v>0.22559999999999999</v>
      </c>
      <c r="H9" s="16">
        <v>0.22559999999999999</v>
      </c>
      <c r="I9" s="34">
        <v>0.22559999999999999</v>
      </c>
    </row>
    <row r="10" spans="1:12">
      <c r="A10" s="29" t="s">
        <v>63</v>
      </c>
      <c r="B10" s="35">
        <v>0.05</v>
      </c>
      <c r="C10" s="36">
        <f t="shared" ref="C10:I10" si="2">$B10</f>
        <v>0.05</v>
      </c>
      <c r="D10" s="36">
        <f t="shared" si="2"/>
        <v>0.05</v>
      </c>
      <c r="E10" s="36">
        <f t="shared" si="2"/>
        <v>0.05</v>
      </c>
      <c r="F10" s="36">
        <f t="shared" si="2"/>
        <v>0.05</v>
      </c>
      <c r="G10" s="36">
        <f t="shared" si="2"/>
        <v>0.05</v>
      </c>
      <c r="H10" s="36">
        <f t="shared" si="2"/>
        <v>0.05</v>
      </c>
      <c r="I10" s="37">
        <f t="shared" si="2"/>
        <v>0.05</v>
      </c>
    </row>
    <row r="11" spans="1:12">
      <c r="A11" s="29" t="s">
        <v>64</v>
      </c>
      <c r="B11" s="30" t="s">
        <v>33</v>
      </c>
      <c r="C11" s="38">
        <f t="shared" ref="C11:I11" si="3">(C19-C18)/C4</f>
        <v>1.2458612932649142</v>
      </c>
      <c r="D11" s="38">
        <f t="shared" si="3"/>
        <v>1.268644250934583</v>
      </c>
      <c r="E11" s="38">
        <f t="shared" si="3"/>
        <v>1.3249447425762653</v>
      </c>
      <c r="F11" s="38">
        <f t="shared" si="3"/>
        <v>1.3106556494177144</v>
      </c>
      <c r="G11" s="38">
        <f t="shared" si="3"/>
        <v>1.2228282824502856</v>
      </c>
      <c r="H11" s="38">
        <f t="shared" si="3"/>
        <v>1.4162291892777603</v>
      </c>
      <c r="I11" s="39">
        <f t="shared" si="3"/>
        <v>1.2761567230381903</v>
      </c>
    </row>
    <row r="12" spans="1:12">
      <c r="A12" s="29"/>
      <c r="B12" s="30"/>
      <c r="C12" s="40"/>
      <c r="D12" s="40"/>
      <c r="E12" s="40"/>
      <c r="F12" s="40"/>
      <c r="G12" s="40"/>
      <c r="H12" s="40"/>
      <c r="I12" s="39"/>
      <c r="L12" t="s">
        <v>65</v>
      </c>
    </row>
    <row r="13" spans="1:12">
      <c r="A13" s="27" t="s">
        <v>23</v>
      </c>
      <c r="B13" s="28"/>
      <c r="C13" s="25"/>
      <c r="D13" s="25"/>
      <c r="E13" s="25"/>
      <c r="F13" s="25"/>
      <c r="G13" s="25"/>
      <c r="H13" s="25"/>
      <c r="I13" s="26"/>
    </row>
    <row r="14" spans="1:12">
      <c r="A14" s="29" t="s">
        <v>24</v>
      </c>
      <c r="B14" s="30" t="s">
        <v>25</v>
      </c>
      <c r="C14" s="4">
        <f t="shared" ref="C14:H14" si="4">C6*C7*C8*C9/1000000*(1-$B10)</f>
        <v>38.572240491187195</v>
      </c>
      <c r="D14" s="4">
        <f t="shared" si="4"/>
        <v>21.49936510492109</v>
      </c>
      <c r="E14" s="4">
        <f t="shared" si="4"/>
        <v>16.082869230964224</v>
      </c>
      <c r="F14" s="4">
        <f t="shared" si="4"/>
        <v>15.098075885692801</v>
      </c>
      <c r="G14" s="4">
        <f t="shared" si="4"/>
        <v>6.8036587792588801</v>
      </c>
      <c r="H14" s="4">
        <f t="shared" si="4"/>
        <v>3.851861207201281</v>
      </c>
      <c r="I14" s="31">
        <f>SUM(C14:H14)</f>
        <v>101.90807069922546</v>
      </c>
    </row>
    <row r="15" spans="1:12">
      <c r="A15" s="29" t="s">
        <v>26</v>
      </c>
      <c r="B15" s="30" t="s">
        <v>20</v>
      </c>
      <c r="C15" s="7">
        <v>4.2799999999999998E-2</v>
      </c>
      <c r="D15" s="7">
        <v>8.4000000000000005E-2</v>
      </c>
      <c r="E15" s="7">
        <v>6.4399999999999999E-2</v>
      </c>
      <c r="F15" s="7">
        <v>7.0999999999999994E-2</v>
      </c>
      <c r="G15" s="7">
        <v>7.0000000000000007E-2</v>
      </c>
      <c r="H15" s="7">
        <v>3.6400000000000002E-2</v>
      </c>
      <c r="I15" s="51">
        <f>-I16/I14</f>
        <v>6.0652728957331682E-2</v>
      </c>
    </row>
    <row r="16" spans="1:12">
      <c r="A16" s="29" t="s">
        <v>26</v>
      </c>
      <c r="B16" s="35" t="s">
        <v>25</v>
      </c>
      <c r="C16" s="4">
        <f>C15*C14*-1</f>
        <v>-1.6508918930228118</v>
      </c>
      <c r="D16" s="4">
        <f t="shared" ref="D16:H16" si="5">D15*D14*-1</f>
        <v>-1.8059466688133716</v>
      </c>
      <c r="E16" s="4">
        <f t="shared" si="5"/>
        <v>-1.0357367784740961</v>
      </c>
      <c r="F16" s="4">
        <f t="shared" si="5"/>
        <v>-1.0719633878841888</v>
      </c>
      <c r="G16" s="4">
        <f t="shared" si="5"/>
        <v>-0.47625611454812167</v>
      </c>
      <c r="H16" s="4">
        <f t="shared" si="5"/>
        <v>-0.14020774794212665</v>
      </c>
      <c r="I16" s="31">
        <f t="shared" ref="I16:I21" si="6">SUM(C16:H16)</f>
        <v>-6.1810025906847166</v>
      </c>
    </row>
    <row r="17" spans="1:9">
      <c r="A17" s="29" t="s">
        <v>27</v>
      </c>
      <c r="B17" s="35" t="s">
        <v>20</v>
      </c>
      <c r="C17" s="14">
        <v>2.5000000000000001E-2</v>
      </c>
      <c r="D17" s="14">
        <v>0.02</v>
      </c>
      <c r="E17" s="14">
        <v>0.02</v>
      </c>
      <c r="F17" s="14">
        <v>0.02</v>
      </c>
      <c r="G17" s="14">
        <v>0.02</v>
      </c>
      <c r="H17" s="14">
        <v>0.02</v>
      </c>
      <c r="I17" s="41"/>
    </row>
    <row r="18" spans="1:9">
      <c r="A18" s="29" t="s">
        <v>27</v>
      </c>
      <c r="B18" s="35" t="s">
        <v>25</v>
      </c>
      <c r="C18" s="4">
        <f>-C17*(C14+C16)+0.01</f>
        <v>-0.91303371495410968</v>
      </c>
      <c r="D18" s="4">
        <f t="shared" ref="D18" si="7">-D17*(D14+D16)</f>
        <v>-0.39386836872215436</v>
      </c>
      <c r="E18" s="4">
        <f>-E17*(E14+E16)+0.01</f>
        <v>-0.29094264904980255</v>
      </c>
      <c r="F18" s="4">
        <f>-F17*(F14+F16)-0.05</f>
        <v>-0.33052224995617224</v>
      </c>
      <c r="G18" s="4">
        <f>-G17*(G14+G16)-0.01</f>
        <v>-0.13654805329421518</v>
      </c>
      <c r="H18" s="4">
        <f>-H17*(H14+H16)-0.04</f>
        <v>-0.11423306918518308</v>
      </c>
      <c r="I18" s="31">
        <f t="shared" si="6"/>
        <v>-2.1791481051616373</v>
      </c>
    </row>
    <row r="19" spans="1:9">
      <c r="A19" s="27" t="s">
        <v>28</v>
      </c>
      <c r="B19" s="30" t="s">
        <v>25</v>
      </c>
      <c r="C19" s="17">
        <f>C14+C16+C18</f>
        <v>36.008314883210275</v>
      </c>
      <c r="D19" s="17">
        <f t="shared" ref="D19:H19" si="8">D14+D16+D18</f>
        <v>19.299550067385564</v>
      </c>
      <c r="E19" s="17">
        <f t="shared" si="8"/>
        <v>14.756189803440327</v>
      </c>
      <c r="F19" s="17">
        <f t="shared" si="8"/>
        <v>13.69559024785244</v>
      </c>
      <c r="G19" s="17">
        <f t="shared" si="8"/>
        <v>6.190854611416543</v>
      </c>
      <c r="H19" s="17">
        <f t="shared" si="8"/>
        <v>3.5974203900739714</v>
      </c>
      <c r="I19" s="47">
        <f>SUM(C19:H19)</f>
        <v>93.547920003379119</v>
      </c>
    </row>
    <row r="20" spans="1:9">
      <c r="A20" s="29" t="s">
        <v>29</v>
      </c>
      <c r="B20" s="30" t="s">
        <v>25</v>
      </c>
      <c r="C20" s="4">
        <v>-0.72299999999999998</v>
      </c>
      <c r="D20" s="4">
        <v>-0.34699999999999998</v>
      </c>
      <c r="E20" s="4">
        <v>-0.34699999999999998</v>
      </c>
      <c r="F20" s="4">
        <v>-0.31900000000000001</v>
      </c>
      <c r="G20" s="4">
        <v>-0.16900000000000001</v>
      </c>
      <c r="H20" s="4">
        <v>-0.106</v>
      </c>
      <c r="I20" s="31">
        <v>-2.3164285714285708</v>
      </c>
    </row>
    <row r="21" spans="1:9">
      <c r="A21" s="27" t="s">
        <v>31</v>
      </c>
      <c r="B21" s="28" t="s">
        <v>25</v>
      </c>
      <c r="C21" s="17">
        <f>C19+C20</f>
        <v>35.285314883210276</v>
      </c>
      <c r="D21" s="17">
        <f t="shared" ref="D21:H21" si="9">D19+D20</f>
        <v>18.952550067385562</v>
      </c>
      <c r="E21" s="17">
        <f t="shared" si="9"/>
        <v>14.409189803440327</v>
      </c>
      <c r="F21" s="17">
        <f t="shared" si="9"/>
        <v>13.376590247852439</v>
      </c>
      <c r="G21" s="17">
        <f t="shared" si="9"/>
        <v>6.0218546114165434</v>
      </c>
      <c r="H21" s="17">
        <f t="shared" si="9"/>
        <v>3.4914203900739715</v>
      </c>
      <c r="I21" s="47">
        <f t="shared" si="6"/>
        <v>91.536920003379109</v>
      </c>
    </row>
    <row r="22" spans="1:9">
      <c r="A22" s="29"/>
      <c r="B22" s="30"/>
      <c r="C22" s="11"/>
      <c r="D22" s="11"/>
      <c r="E22" s="11"/>
      <c r="F22" s="11"/>
      <c r="G22" s="11"/>
      <c r="H22" s="11"/>
      <c r="I22" s="50"/>
    </row>
    <row r="23" spans="1:9">
      <c r="A23" s="27" t="s">
        <v>66</v>
      </c>
      <c r="B23" s="28"/>
      <c r="C23" s="6"/>
      <c r="D23" s="6"/>
      <c r="E23" s="6"/>
      <c r="F23" s="6"/>
      <c r="G23" s="6"/>
      <c r="H23" s="6"/>
      <c r="I23" s="33"/>
    </row>
    <row r="24" spans="1:9">
      <c r="A24" s="29" t="s">
        <v>67</v>
      </c>
      <c r="B24" s="30" t="s">
        <v>25</v>
      </c>
      <c r="C24" s="6">
        <v>552</v>
      </c>
      <c r="D24" s="6">
        <v>212.85</v>
      </c>
      <c r="E24" s="6">
        <v>68.290000000000006</v>
      </c>
      <c r="F24" s="6">
        <v>63.18</v>
      </c>
      <c r="G24" s="6">
        <v>37.76</v>
      </c>
      <c r="H24" s="6">
        <v>25.38</v>
      </c>
      <c r="I24" s="33">
        <f t="shared" ref="I24:I27" si="10">SUM(C24:H24)</f>
        <v>959.45999999999992</v>
      </c>
    </row>
    <row r="25" spans="1:9">
      <c r="A25" s="29" t="s">
        <v>68</v>
      </c>
      <c r="B25" s="30" t="s">
        <v>25</v>
      </c>
      <c r="C25" s="6">
        <v>-395</v>
      </c>
      <c r="D25" s="6">
        <v>-99.4</v>
      </c>
      <c r="E25" s="6">
        <v>-24.05</v>
      </c>
      <c r="F25" s="6">
        <v>-19.62</v>
      </c>
      <c r="G25" s="6">
        <v>-13.74</v>
      </c>
      <c r="H25" s="6">
        <v>-8.94</v>
      </c>
      <c r="I25" s="33">
        <f t="shared" si="10"/>
        <v>-560.75</v>
      </c>
    </row>
    <row r="26" spans="1:9">
      <c r="A26" s="29" t="s">
        <v>69</v>
      </c>
      <c r="B26" s="30" t="s">
        <v>25</v>
      </c>
      <c r="C26" s="6">
        <v>-120.6</v>
      </c>
      <c r="D26" s="6">
        <v>-96</v>
      </c>
      <c r="E26" s="6">
        <v>-30</v>
      </c>
      <c r="F26" s="6">
        <v>-30</v>
      </c>
      <c r="G26" s="6">
        <v>-17</v>
      </c>
      <c r="H26" s="6">
        <v>-12</v>
      </c>
      <c r="I26" s="33">
        <f t="shared" si="10"/>
        <v>-305.60000000000002</v>
      </c>
    </row>
    <row r="27" spans="1:9">
      <c r="A27" s="43" t="s">
        <v>70</v>
      </c>
      <c r="B27" s="8" t="s">
        <v>25</v>
      </c>
      <c r="C27" s="9">
        <f>C24+C26+C25</f>
        <v>36.399999999999977</v>
      </c>
      <c r="D27" s="9">
        <f t="shared" ref="D27:H27" si="11">D24+D26+D25</f>
        <v>17.449999999999989</v>
      </c>
      <c r="E27" s="9">
        <f t="shared" si="11"/>
        <v>14.240000000000006</v>
      </c>
      <c r="F27" s="9">
        <f t="shared" si="11"/>
        <v>13.559999999999999</v>
      </c>
      <c r="G27" s="9">
        <f t="shared" si="11"/>
        <v>7.0199999999999978</v>
      </c>
      <c r="H27" s="9">
        <f t="shared" si="11"/>
        <v>4.4399999999999995</v>
      </c>
      <c r="I27" s="44">
        <f t="shared" si="10"/>
        <v>93.109999999999971</v>
      </c>
    </row>
    <row r="28" spans="1:9">
      <c r="A28" s="29"/>
      <c r="B28" s="30"/>
      <c r="C28" s="6"/>
      <c r="D28" s="6"/>
      <c r="E28" s="6"/>
      <c r="F28" s="6"/>
      <c r="G28" s="6"/>
      <c r="H28" s="6"/>
      <c r="I28" s="33"/>
    </row>
    <row r="29" spans="1:9">
      <c r="A29" s="45" t="s">
        <v>71</v>
      </c>
      <c r="B29" s="2"/>
      <c r="C29" s="3" t="s">
        <v>1</v>
      </c>
      <c r="D29" s="3" t="s">
        <v>2</v>
      </c>
      <c r="E29" s="3" t="s">
        <v>3</v>
      </c>
      <c r="F29" s="3" t="s">
        <v>4</v>
      </c>
      <c r="G29" s="3" t="s">
        <v>5</v>
      </c>
      <c r="H29" s="3" t="s">
        <v>6</v>
      </c>
      <c r="I29" s="46" t="s">
        <v>7</v>
      </c>
    </row>
    <row r="30" spans="1:9">
      <c r="A30" s="23"/>
      <c r="B30" s="30"/>
      <c r="C30" s="6"/>
      <c r="D30" s="6"/>
      <c r="E30" s="6"/>
      <c r="F30" s="6"/>
      <c r="G30" s="6"/>
      <c r="H30" s="6"/>
      <c r="I30" s="33"/>
    </row>
    <row r="31" spans="1:9">
      <c r="A31" s="27" t="s">
        <v>35</v>
      </c>
      <c r="B31" s="28"/>
      <c r="C31" s="17"/>
      <c r="D31" s="17"/>
      <c r="E31" s="17"/>
      <c r="F31" s="17"/>
      <c r="G31" s="17"/>
      <c r="H31" s="17"/>
      <c r="I31" s="47"/>
    </row>
    <row r="32" spans="1:9">
      <c r="A32" s="29" t="s">
        <v>31</v>
      </c>
      <c r="B32" s="30" t="s">
        <v>25</v>
      </c>
      <c r="C32" s="4">
        <f t="shared" ref="C32:H32" si="12">C21</f>
        <v>35.285314883210276</v>
      </c>
      <c r="D32" s="4">
        <f t="shared" si="12"/>
        <v>18.952550067385562</v>
      </c>
      <c r="E32" s="4">
        <f t="shared" si="12"/>
        <v>14.409189803440327</v>
      </c>
      <c r="F32" s="4">
        <f t="shared" si="12"/>
        <v>13.376590247852439</v>
      </c>
      <c r="G32" s="4">
        <f t="shared" si="12"/>
        <v>6.0218546114165434</v>
      </c>
      <c r="H32" s="4">
        <f t="shared" si="12"/>
        <v>3.4914203900739715</v>
      </c>
      <c r="I32" s="31">
        <f t="shared" ref="I32:I40" si="13">SUM(C32:H32)</f>
        <v>91.536920003379109</v>
      </c>
    </row>
    <row r="33" spans="1:9">
      <c r="A33" s="29" t="s">
        <v>30</v>
      </c>
      <c r="B33" s="30" t="s">
        <v>25</v>
      </c>
      <c r="C33" s="4">
        <f>-0.072-0.0822</f>
        <v>-0.1542</v>
      </c>
      <c r="D33" s="4">
        <v>-0.60199999999999998</v>
      </c>
      <c r="E33" s="4">
        <v>-0.50470000000000004</v>
      </c>
      <c r="F33" s="4">
        <v>-0.36699999999999999</v>
      </c>
      <c r="G33" s="4">
        <v>-8.4268999999999997E-2</v>
      </c>
      <c r="H33" s="4">
        <v>-9.7445000000000004E-2</v>
      </c>
      <c r="I33" s="31">
        <f>SUM(C33:H33)</f>
        <v>-1.8096139999999998</v>
      </c>
    </row>
    <row r="34" spans="1:9">
      <c r="A34" s="29" t="s">
        <v>36</v>
      </c>
      <c r="B34" s="30" t="s">
        <v>25</v>
      </c>
      <c r="C34" s="4">
        <f>-0.8297-0.8096</f>
        <v>-1.6393</v>
      </c>
      <c r="D34" s="4">
        <v>-1.758</v>
      </c>
      <c r="E34" s="4">
        <v>-2.8109999999999999</v>
      </c>
      <c r="F34" s="4">
        <v>-2.7134999999999998</v>
      </c>
      <c r="G34" s="4">
        <v>-1.1516850000000001</v>
      </c>
      <c r="H34" s="4">
        <v>-0.69189999999999996</v>
      </c>
      <c r="I34" s="31">
        <f>SUM(C34:H34)</f>
        <v>-10.765385</v>
      </c>
    </row>
    <row r="35" spans="1:9">
      <c r="A35" s="29" t="s">
        <v>37</v>
      </c>
      <c r="B35" s="30" t="s">
        <v>25</v>
      </c>
      <c r="C35" s="4">
        <f>0.144*C34</f>
        <v>-0.23605919999999997</v>
      </c>
      <c r="D35" s="4">
        <f t="shared" ref="D35:H35" si="14">0.144*D34</f>
        <v>-0.25315199999999999</v>
      </c>
      <c r="E35" s="4">
        <f t="shared" si="14"/>
        <v>-0.40478399999999998</v>
      </c>
      <c r="F35" s="4">
        <f t="shared" si="14"/>
        <v>-0.39074399999999992</v>
      </c>
      <c r="G35" s="4">
        <f t="shared" si="14"/>
        <v>-0.16584263999999999</v>
      </c>
      <c r="H35" s="4">
        <f t="shared" si="14"/>
        <v>-9.9633599999999989E-2</v>
      </c>
      <c r="I35" s="31">
        <f>SUM(C35:H35)</f>
        <v>-1.5502154399999999</v>
      </c>
    </row>
    <row r="36" spans="1:9">
      <c r="A36" s="29" t="s">
        <v>38</v>
      </c>
      <c r="B36" s="30" t="s">
        <v>25</v>
      </c>
      <c r="C36" s="4">
        <f>-C34+C35</f>
        <v>1.4032408000000001</v>
      </c>
      <c r="D36" s="4">
        <f t="shared" ref="D36:H36" si="15">-D34+D35</f>
        <v>1.504848</v>
      </c>
      <c r="E36" s="4">
        <f t="shared" si="15"/>
        <v>2.4062160000000001</v>
      </c>
      <c r="F36" s="4">
        <f t="shared" si="15"/>
        <v>2.322756</v>
      </c>
      <c r="G36" s="4">
        <f t="shared" si="15"/>
        <v>0.98584236000000014</v>
      </c>
      <c r="H36" s="4">
        <f t="shared" si="15"/>
        <v>0.59226639999999997</v>
      </c>
      <c r="I36" s="31">
        <f>SUM(C36:H36)</f>
        <v>9.2151695599999996</v>
      </c>
    </row>
    <row r="37" spans="1:9">
      <c r="A37" s="29" t="s">
        <v>39</v>
      </c>
      <c r="B37" s="30" t="s">
        <v>25</v>
      </c>
      <c r="C37" s="4">
        <f>17.436+15.965</f>
        <v>33.400999999999996</v>
      </c>
      <c r="D37" s="4">
        <v>16.556000000000001</v>
      </c>
      <c r="E37" s="4">
        <v>11.066000000000001</v>
      </c>
      <c r="F37" s="4">
        <v>10.228</v>
      </c>
      <c r="G37" s="4">
        <v>4.7480000000000002</v>
      </c>
      <c r="H37" s="4">
        <v>2.6840000000000002</v>
      </c>
      <c r="I37" s="31">
        <f>SUM(C37:H37)</f>
        <v>78.682999999999993</v>
      </c>
    </row>
    <row r="38" spans="1:9">
      <c r="A38" s="27" t="s">
        <v>35</v>
      </c>
      <c r="B38" s="28" t="s">
        <v>25</v>
      </c>
      <c r="C38" s="17">
        <f>C36+C37</f>
        <v>34.804240799999995</v>
      </c>
      <c r="D38" s="17">
        <f t="shared" ref="D38:H38" si="16">D36+D37</f>
        <v>18.060848</v>
      </c>
      <c r="E38" s="17">
        <f t="shared" si="16"/>
        <v>13.472216000000001</v>
      </c>
      <c r="F38" s="17">
        <f t="shared" si="16"/>
        <v>12.550756</v>
      </c>
      <c r="G38" s="17">
        <f t="shared" si="16"/>
        <v>5.7338423600000006</v>
      </c>
      <c r="H38" s="17">
        <f t="shared" si="16"/>
        <v>3.2762663999999999</v>
      </c>
      <c r="I38" s="47">
        <f t="shared" si="13"/>
        <v>87.898169559999999</v>
      </c>
    </row>
    <row r="39" spans="1:9">
      <c r="A39" s="29" t="s">
        <v>40</v>
      </c>
      <c r="B39" s="48" t="s">
        <v>41</v>
      </c>
      <c r="C39" s="10">
        <v>134.65</v>
      </c>
      <c r="D39" s="10">
        <v>133.51</v>
      </c>
      <c r="E39" s="10">
        <v>152.27000000000001</v>
      </c>
      <c r="F39" s="10">
        <v>156.38</v>
      </c>
      <c r="G39" s="10">
        <v>194.26</v>
      </c>
      <c r="H39" s="10">
        <v>199.91</v>
      </c>
      <c r="I39" s="49">
        <f>I40*1000000/(I38*1000)</f>
        <v>146.54015084904802</v>
      </c>
    </row>
    <row r="40" spans="1:9">
      <c r="A40" s="29" t="s">
        <v>42</v>
      </c>
      <c r="B40" s="30" t="s">
        <v>43</v>
      </c>
      <c r="C40" s="4">
        <f t="shared" ref="C40:H40" si="17">C38*C39/1000</f>
        <v>4.6863910237199997</v>
      </c>
      <c r="D40" s="4">
        <f t="shared" si="17"/>
        <v>2.4113038164799998</v>
      </c>
      <c r="E40" s="4">
        <f t="shared" si="17"/>
        <v>2.0514143303200005</v>
      </c>
      <c r="F40" s="4">
        <f t="shared" si="17"/>
        <v>1.9626872232799999</v>
      </c>
      <c r="G40" s="4">
        <f t="shared" si="17"/>
        <v>1.1138562168535999</v>
      </c>
      <c r="H40" s="4">
        <f t="shared" si="17"/>
        <v>0.65495841602399996</v>
      </c>
      <c r="I40" s="33">
        <f t="shared" si="13"/>
        <v>12.880611026677599</v>
      </c>
    </row>
    <row r="41" spans="1:9">
      <c r="A41" s="29" t="s">
        <v>72</v>
      </c>
      <c r="B41" s="28" t="s">
        <v>20</v>
      </c>
      <c r="C41" s="7">
        <f>C38/C24</f>
        <v>6.3051160869565206E-2</v>
      </c>
      <c r="D41" s="7">
        <f t="shared" ref="D41:I41" si="18">D38/D24</f>
        <v>8.4852468874794459E-2</v>
      </c>
      <c r="E41" s="7">
        <f t="shared" si="18"/>
        <v>0.1972794845511788</v>
      </c>
      <c r="F41" s="7">
        <f t="shared" si="18"/>
        <v>0.19865077556188668</v>
      </c>
      <c r="G41" s="7">
        <f t="shared" si="18"/>
        <v>0.15184963877118646</v>
      </c>
      <c r="H41" s="7">
        <f t="shared" si="18"/>
        <v>0.12908851063829788</v>
      </c>
      <c r="I41" s="7">
        <f t="shared" si="18"/>
        <v>9.1612125112042198E-2</v>
      </c>
    </row>
    <row r="42" spans="1:9">
      <c r="A42" s="27"/>
      <c r="B42" s="28"/>
      <c r="C42" s="4"/>
      <c r="D42" s="4"/>
      <c r="E42" s="4"/>
      <c r="F42" s="4"/>
      <c r="G42" s="4"/>
      <c r="H42" s="4"/>
      <c r="I42" s="4"/>
    </row>
    <row r="43" spans="1:9">
      <c r="A43" s="27" t="s">
        <v>44</v>
      </c>
      <c r="B43" s="28"/>
      <c r="C43" s="4"/>
      <c r="D43" s="11"/>
      <c r="E43" s="4"/>
      <c r="F43" s="4"/>
      <c r="G43" s="4"/>
      <c r="H43" s="4"/>
      <c r="I43" s="31"/>
    </row>
    <row r="44" spans="1:9">
      <c r="A44" s="29" t="s">
        <v>73</v>
      </c>
      <c r="B44" s="30" t="s">
        <v>25</v>
      </c>
      <c r="C44" s="4">
        <v>3.16</v>
      </c>
      <c r="D44" s="4">
        <v>1.62</v>
      </c>
      <c r="E44" s="4">
        <v>1.59</v>
      </c>
      <c r="F44" s="4">
        <v>1.6</v>
      </c>
      <c r="G44" s="4">
        <v>1.25</v>
      </c>
      <c r="H44" s="4">
        <v>0.6</v>
      </c>
      <c r="I44" s="31">
        <f t="shared" ref="I44:I51" si="19">SUM(C44:H44)</f>
        <v>9.82</v>
      </c>
    </row>
    <row r="45" spans="1:9">
      <c r="A45" s="29" t="s">
        <v>46</v>
      </c>
      <c r="B45" s="48" t="s">
        <v>41</v>
      </c>
      <c r="C45" s="6">
        <v>117.1</v>
      </c>
      <c r="D45" s="6">
        <v>128.30000000000001</v>
      </c>
      <c r="E45" s="6">
        <v>125.3</v>
      </c>
      <c r="F45" s="6">
        <v>125.7</v>
      </c>
      <c r="G45" s="6">
        <v>141.28800000000001</v>
      </c>
      <c r="H45" s="6">
        <v>141.28800000000001</v>
      </c>
      <c r="I45" s="31">
        <v>126.93635929075339</v>
      </c>
    </row>
    <row r="46" spans="1:9">
      <c r="A46" s="29" t="s">
        <v>47</v>
      </c>
      <c r="B46" s="30" t="s">
        <v>43</v>
      </c>
      <c r="C46" s="6">
        <f>C44*C45/1000</f>
        <v>0.37003599999999998</v>
      </c>
      <c r="D46" s="6">
        <f t="shared" ref="D46:H46" si="20">D44*D45/1000</f>
        <v>0.20784600000000003</v>
      </c>
      <c r="E46" s="6">
        <f t="shared" si="20"/>
        <v>0.19922700000000002</v>
      </c>
      <c r="F46" s="6">
        <f t="shared" si="20"/>
        <v>0.20111999999999999</v>
      </c>
      <c r="G46" s="6">
        <f t="shared" si="20"/>
        <v>0.17661000000000002</v>
      </c>
      <c r="H46" s="6">
        <f t="shared" si="20"/>
        <v>8.4772800000000009E-2</v>
      </c>
      <c r="I46" s="31">
        <f t="shared" si="19"/>
        <v>1.2396118</v>
      </c>
    </row>
    <row r="47" spans="1:9">
      <c r="A47" s="29" t="s">
        <v>48</v>
      </c>
      <c r="B47" s="30" t="s">
        <v>25</v>
      </c>
      <c r="C47" s="4">
        <f>C20</f>
        <v>-0.72299999999999998</v>
      </c>
      <c r="D47" s="4">
        <f t="shared" ref="D47:H47" si="21">D20</f>
        <v>-0.34699999999999998</v>
      </c>
      <c r="E47" s="4">
        <f t="shared" si="21"/>
        <v>-0.34699999999999998</v>
      </c>
      <c r="F47" s="4">
        <f t="shared" si="21"/>
        <v>-0.31900000000000001</v>
      </c>
      <c r="G47" s="4">
        <f t="shared" si="21"/>
        <v>-0.16900000000000001</v>
      </c>
      <c r="H47" s="4">
        <f t="shared" si="21"/>
        <v>-0.106</v>
      </c>
      <c r="I47" s="31">
        <f t="shared" si="19"/>
        <v>-2.0109999999999997</v>
      </c>
    </row>
    <row r="48" spans="1:9">
      <c r="A48" s="29" t="s">
        <v>49</v>
      </c>
      <c r="B48" s="30" t="s">
        <v>25</v>
      </c>
      <c r="C48" s="4">
        <f>C44+C47</f>
        <v>2.4370000000000003</v>
      </c>
      <c r="D48" s="4">
        <f t="shared" ref="D48:H48" si="22">D44+D47</f>
        <v>1.2730000000000001</v>
      </c>
      <c r="E48" s="4">
        <f t="shared" si="22"/>
        <v>1.2430000000000001</v>
      </c>
      <c r="F48" s="4">
        <f t="shared" si="22"/>
        <v>1.2810000000000001</v>
      </c>
      <c r="G48" s="4">
        <f t="shared" si="22"/>
        <v>1.081</v>
      </c>
      <c r="H48" s="4">
        <f t="shared" si="22"/>
        <v>0.49399999999999999</v>
      </c>
      <c r="I48" s="31">
        <f t="shared" si="19"/>
        <v>7.8089999999999993</v>
      </c>
    </row>
    <row r="49" spans="1:9">
      <c r="A49" s="29" t="s">
        <v>50</v>
      </c>
      <c r="B49" s="30" t="s">
        <v>25</v>
      </c>
      <c r="C49" s="4">
        <f t="shared" ref="C49:H49" si="23">C48*0.144*-1</f>
        <v>-0.35092800000000002</v>
      </c>
      <c r="D49" s="4">
        <f t="shared" si="23"/>
        <v>-0.183312</v>
      </c>
      <c r="E49" s="4">
        <f t="shared" si="23"/>
        <v>-0.17899200000000001</v>
      </c>
      <c r="F49" s="4">
        <f t="shared" si="23"/>
        <v>-0.18446400000000002</v>
      </c>
      <c r="G49" s="4">
        <f t="shared" si="23"/>
        <v>-0.15566399999999997</v>
      </c>
      <c r="H49" s="4">
        <f t="shared" si="23"/>
        <v>-7.1135999999999991E-2</v>
      </c>
      <c r="I49" s="31">
        <f t="shared" si="19"/>
        <v>-1.1244960000000002</v>
      </c>
    </row>
    <row r="50" spans="1:9">
      <c r="A50" s="29" t="s">
        <v>48</v>
      </c>
      <c r="B50" s="30" t="s">
        <v>25</v>
      </c>
      <c r="C50" s="4">
        <f>C47</f>
        <v>-0.72299999999999998</v>
      </c>
      <c r="D50" s="4">
        <f t="shared" ref="D50:H50" si="24">D47</f>
        <v>-0.34699999999999998</v>
      </c>
      <c r="E50" s="4">
        <f t="shared" si="24"/>
        <v>-0.34699999999999998</v>
      </c>
      <c r="F50" s="4">
        <f t="shared" si="24"/>
        <v>-0.31900000000000001</v>
      </c>
      <c r="G50" s="4">
        <f t="shared" si="24"/>
        <v>-0.16900000000000001</v>
      </c>
      <c r="H50" s="4">
        <f t="shared" si="24"/>
        <v>-0.106</v>
      </c>
      <c r="I50" s="31">
        <f t="shared" si="19"/>
        <v>-2.0109999999999997</v>
      </c>
    </row>
    <row r="51" spans="1:9">
      <c r="A51" s="27" t="s">
        <v>51</v>
      </c>
      <c r="B51" s="28" t="s">
        <v>25</v>
      </c>
      <c r="C51" s="17">
        <f>C48+C49+C50</f>
        <v>1.3630720000000003</v>
      </c>
      <c r="D51" s="17">
        <f t="shared" ref="D51:H51" si="25">D48+D49+D50</f>
        <v>0.74268800000000024</v>
      </c>
      <c r="E51" s="17">
        <f t="shared" si="25"/>
        <v>0.71700800000000009</v>
      </c>
      <c r="F51" s="17">
        <f t="shared" si="25"/>
        <v>0.77753600000000023</v>
      </c>
      <c r="G51" s="17">
        <f t="shared" si="25"/>
        <v>0.7563359999999999</v>
      </c>
      <c r="H51" s="17">
        <f t="shared" si="25"/>
        <v>0.31686400000000003</v>
      </c>
      <c r="I51" s="47">
        <f t="shared" si="19"/>
        <v>4.6735040000000012</v>
      </c>
    </row>
    <row r="52" spans="1:9">
      <c r="A52" s="29" t="s">
        <v>52</v>
      </c>
      <c r="B52" s="48" t="s">
        <v>41</v>
      </c>
      <c r="C52" s="10">
        <f t="shared" ref="C52:I52" si="26">C39</f>
        <v>134.65</v>
      </c>
      <c r="D52" s="10">
        <f t="shared" si="26"/>
        <v>133.51</v>
      </c>
      <c r="E52" s="10">
        <f t="shared" si="26"/>
        <v>152.27000000000001</v>
      </c>
      <c r="F52" s="10">
        <f t="shared" si="26"/>
        <v>156.38</v>
      </c>
      <c r="G52" s="10">
        <f t="shared" si="26"/>
        <v>194.26</v>
      </c>
      <c r="H52" s="10">
        <f t="shared" si="26"/>
        <v>199.91</v>
      </c>
      <c r="I52" s="49">
        <f t="shared" si="26"/>
        <v>146.54015084904802</v>
      </c>
    </row>
    <row r="53" spans="1:9">
      <c r="A53" s="29" t="s">
        <v>42</v>
      </c>
      <c r="B53" s="30" t="s">
        <v>43</v>
      </c>
      <c r="C53" s="4">
        <f>C51*C52/1000</f>
        <v>0.18353764480000004</v>
      </c>
      <c r="D53" s="4">
        <f t="shared" ref="D53:H53" si="27">D51*D52/1000</f>
        <v>9.915627488000002E-2</v>
      </c>
      <c r="E53" s="4">
        <f t="shared" si="27"/>
        <v>0.10917880816000002</v>
      </c>
      <c r="F53" s="4">
        <f t="shared" si="27"/>
        <v>0.12159107968000003</v>
      </c>
      <c r="G53" s="4">
        <f t="shared" si="27"/>
        <v>0.14692583135999995</v>
      </c>
      <c r="H53" s="4">
        <f t="shared" si="27"/>
        <v>6.3344282240000008E-2</v>
      </c>
      <c r="I53" s="31">
        <f>SUM(C53:H53)</f>
        <v>0.72373392112000001</v>
      </c>
    </row>
    <row r="54" spans="1:9" ht="15.75" thickBot="1">
      <c r="A54" s="27" t="s">
        <v>53</v>
      </c>
      <c r="B54" s="30" t="s">
        <v>25</v>
      </c>
      <c r="C54" s="4">
        <f>C36+C51</f>
        <v>2.7663128000000006</v>
      </c>
      <c r="D54" s="4">
        <f t="shared" ref="D54:H54" si="28">D36+D51</f>
        <v>2.2475360000000002</v>
      </c>
      <c r="E54" s="4">
        <f t="shared" si="28"/>
        <v>3.1232240000000004</v>
      </c>
      <c r="F54" s="4">
        <f t="shared" si="28"/>
        <v>3.1002920000000005</v>
      </c>
      <c r="G54" s="4">
        <f t="shared" si="28"/>
        <v>1.74217836</v>
      </c>
      <c r="H54" s="4">
        <f t="shared" si="28"/>
        <v>0.90913040000000001</v>
      </c>
      <c r="I54" s="31">
        <f>SUM(C54:H54)</f>
        <v>13.888673560000003</v>
      </c>
    </row>
    <row r="55" spans="1:9">
      <c r="A55" s="19" t="s">
        <v>54</v>
      </c>
      <c r="B55" s="55" t="s">
        <v>25</v>
      </c>
      <c r="C55" s="56">
        <f t="shared" ref="C55:H55" si="29">C51+C38</f>
        <v>36.167312799999998</v>
      </c>
      <c r="D55" s="56">
        <f t="shared" si="29"/>
        <v>18.803536000000001</v>
      </c>
      <c r="E55" s="56">
        <f t="shared" si="29"/>
        <v>14.189224000000001</v>
      </c>
      <c r="F55" s="56">
        <f t="shared" si="29"/>
        <v>13.328291999999999</v>
      </c>
      <c r="G55" s="56">
        <f t="shared" si="29"/>
        <v>6.4901783600000007</v>
      </c>
      <c r="H55" s="56">
        <f t="shared" si="29"/>
        <v>3.5931303999999997</v>
      </c>
      <c r="I55" s="57">
        <f>SUM(C55:H55)</f>
        <v>92.571673559999994</v>
      </c>
    </row>
    <row r="56" spans="1:9">
      <c r="A56" s="58" t="s">
        <v>55</v>
      </c>
      <c r="B56" s="59" t="s">
        <v>25</v>
      </c>
      <c r="C56" s="60">
        <f t="shared" ref="C56:H56" si="30">C38-C36</f>
        <v>33.400999999999996</v>
      </c>
      <c r="D56" s="60">
        <f t="shared" si="30"/>
        <v>16.556000000000001</v>
      </c>
      <c r="E56" s="60">
        <f t="shared" si="30"/>
        <v>11.066000000000001</v>
      </c>
      <c r="F56" s="60">
        <f t="shared" si="30"/>
        <v>10.228</v>
      </c>
      <c r="G56" s="60">
        <f t="shared" si="30"/>
        <v>4.7480000000000002</v>
      </c>
      <c r="H56" s="60">
        <f t="shared" si="30"/>
        <v>2.6840000000000002</v>
      </c>
      <c r="I56" s="61">
        <f t="shared" ref="I56:I58" si="31">SUM(C56:H56)</f>
        <v>78.682999999999993</v>
      </c>
    </row>
    <row r="57" spans="1:9">
      <c r="A57" s="58" t="s">
        <v>56</v>
      </c>
      <c r="B57" s="59" t="s">
        <v>25</v>
      </c>
      <c r="C57" s="60">
        <f t="shared" ref="C57:H57" si="32">C36</f>
        <v>1.4032408000000001</v>
      </c>
      <c r="D57" s="60">
        <f t="shared" si="32"/>
        <v>1.504848</v>
      </c>
      <c r="E57" s="60">
        <f t="shared" si="32"/>
        <v>2.4062160000000001</v>
      </c>
      <c r="F57" s="60">
        <f t="shared" si="32"/>
        <v>2.322756</v>
      </c>
      <c r="G57" s="60">
        <f t="shared" si="32"/>
        <v>0.98584236000000014</v>
      </c>
      <c r="H57" s="60">
        <f t="shared" si="32"/>
        <v>0.59226639999999997</v>
      </c>
      <c r="I57" s="61">
        <f t="shared" si="31"/>
        <v>9.2151695599999996</v>
      </c>
    </row>
    <row r="58" spans="1:9" ht="15.75" thickBot="1">
      <c r="A58" s="62" t="s">
        <v>57</v>
      </c>
      <c r="B58" s="63" t="s">
        <v>25</v>
      </c>
      <c r="C58" s="64">
        <f>C55-C56-C57</f>
        <v>1.3630720000000014</v>
      </c>
      <c r="D58" s="64">
        <f t="shared" ref="D58:H58" si="33">D55-D56-D57</f>
        <v>0.74268800000000024</v>
      </c>
      <c r="E58" s="64">
        <f t="shared" si="33"/>
        <v>0.71700800000000031</v>
      </c>
      <c r="F58" s="64">
        <f t="shared" si="33"/>
        <v>0.77753599999999956</v>
      </c>
      <c r="G58" s="64">
        <f t="shared" si="33"/>
        <v>0.75633600000000034</v>
      </c>
      <c r="H58" s="64">
        <f t="shared" si="33"/>
        <v>0.31686399999999959</v>
      </c>
      <c r="I58" s="65">
        <f t="shared" si="31"/>
        <v>4.6735040000000021</v>
      </c>
    </row>
    <row r="59" spans="1:9">
      <c r="A59" s="58" t="s">
        <v>58</v>
      </c>
      <c r="B59" s="59" t="s">
        <v>43</v>
      </c>
      <c r="C59" s="60">
        <f t="shared" ref="C59:H59" si="34">C53+C40</f>
        <v>4.8699286685200001</v>
      </c>
      <c r="D59" s="60">
        <f t="shared" si="34"/>
        <v>2.5104600913599997</v>
      </c>
      <c r="E59" s="60">
        <f t="shared" si="34"/>
        <v>2.1605931384800003</v>
      </c>
      <c r="F59" s="60">
        <f t="shared" si="34"/>
        <v>2.0842783029600001</v>
      </c>
      <c r="G59" s="60">
        <f t="shared" si="34"/>
        <v>1.2607820482135998</v>
      </c>
      <c r="H59" s="60">
        <f t="shared" si="34"/>
        <v>0.71830269826399995</v>
      </c>
      <c r="I59" s="66">
        <f>SUM(C59:H59)</f>
        <v>13.6043449477976</v>
      </c>
    </row>
    <row r="60" spans="1:9">
      <c r="A60" s="67" t="s">
        <v>59</v>
      </c>
      <c r="B60" s="68" t="s">
        <v>43</v>
      </c>
      <c r="C60" s="69">
        <f t="shared" ref="C60:I60" si="35">C59-C46</f>
        <v>4.4998926685200002</v>
      </c>
      <c r="D60" s="69">
        <f t="shared" si="35"/>
        <v>2.3026140913599997</v>
      </c>
      <c r="E60" s="69">
        <f t="shared" si="35"/>
        <v>1.9613661384800003</v>
      </c>
      <c r="F60" s="69">
        <f t="shared" si="35"/>
        <v>1.8831583029600001</v>
      </c>
      <c r="G60" s="69">
        <f t="shared" si="35"/>
        <v>1.0841720482135999</v>
      </c>
      <c r="H60" s="69">
        <f t="shared" si="35"/>
        <v>0.63352989826399997</v>
      </c>
      <c r="I60" s="70">
        <f t="shared" si="35"/>
        <v>12.364733147797599</v>
      </c>
    </row>
    <row r="61" spans="1:9">
      <c r="A61" s="67" t="s">
        <v>60</v>
      </c>
      <c r="B61" s="71" t="s">
        <v>41</v>
      </c>
      <c r="C61" s="72">
        <f>C60/C55*1000</f>
        <v>124.41877264710693</v>
      </c>
      <c r="D61" s="72">
        <f t="shared" ref="D61:I61" si="36">D60/D55*1000</f>
        <v>122.45644071200223</v>
      </c>
      <c r="E61" s="72">
        <f t="shared" si="36"/>
        <v>138.22927444658004</v>
      </c>
      <c r="F61" s="72">
        <f t="shared" si="36"/>
        <v>141.29029458238159</v>
      </c>
      <c r="G61" s="72">
        <f t="shared" si="36"/>
        <v>167.04811302190464</v>
      </c>
      <c r="H61" s="72">
        <f t="shared" si="36"/>
        <v>176.31697927356046</v>
      </c>
      <c r="I61" s="73">
        <f t="shared" si="36"/>
        <v>133.56929471285233</v>
      </c>
    </row>
    <row r="62" spans="1:9">
      <c r="A62" s="12"/>
      <c r="B62" s="13"/>
      <c r="C62" s="18"/>
      <c r="D62" s="18"/>
      <c r="E62" s="18"/>
      <c r="F62" s="18"/>
      <c r="G62" s="18"/>
      <c r="H62" s="18"/>
      <c r="I62" s="1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A8A4F0ED6AAC4DBF528CA16A446EBD" ma:contentTypeVersion="15" ma:contentTypeDescription="Create a new document." ma:contentTypeScope="" ma:versionID="878cf2f0781d7b2c09b6e2f0946cd955">
  <xsd:schema xmlns:xsd="http://www.w3.org/2001/XMLSchema" xmlns:xs="http://www.w3.org/2001/XMLSchema" xmlns:p="http://schemas.microsoft.com/office/2006/metadata/properties" xmlns:ns2="ed53cbc3-507a-49b3-991f-a2f23f26082f" xmlns:ns3="1f218e2f-722f-42ad-a80e-79a2687c6e1d" targetNamespace="http://schemas.microsoft.com/office/2006/metadata/properties" ma:root="true" ma:fieldsID="4a61397610d4b79d16a77b7387e9f5d5" ns2:_="" ns3:_="">
    <xsd:import namespace="ed53cbc3-507a-49b3-991f-a2f23f26082f"/>
    <xsd:import namespace="1f218e2f-722f-42ad-a80e-79a2687c6e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Comment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53cbc3-507a-49b3-991f-a2f23f2608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ff62c27-727a-47a1-8d9f-b2cb979f3c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Comments" ma:index="19" nillable="true" ma:displayName="Comments" ma:format="Dropdown" ma:internalName="Comments">
      <xsd:simpleType>
        <xsd:restriction base="dms:Text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18e2f-722f-42ad-a80e-79a2687c6e1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10afdcde-07d5-47bf-9704-a12b522e7d84}" ma:internalName="TaxCatchAll" ma:showField="CatchAllData" ma:web="1f218e2f-722f-42ad-a80e-79a2687c6e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53cbc3-507a-49b3-991f-a2f23f26082f">
      <Terms xmlns="http://schemas.microsoft.com/office/infopath/2007/PartnerControls"/>
    </lcf76f155ced4ddcb4097134ff3c332f>
    <TaxCatchAll xmlns="1f218e2f-722f-42ad-a80e-79a2687c6e1d" xsi:nil="true"/>
    <Comments xmlns="ed53cbc3-507a-49b3-991f-a2f23f26082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367B7B-330E-4D77-855C-D4F5BAA49A9E}"/>
</file>

<file path=customXml/itemProps2.xml><?xml version="1.0" encoding="utf-8"?>
<ds:datastoreItem xmlns:ds="http://schemas.openxmlformats.org/officeDocument/2006/customXml" ds:itemID="{84BD7E2C-853D-4C95-96E9-9050D10B123A}"/>
</file>

<file path=customXml/itemProps3.xml><?xml version="1.0" encoding="utf-8"?>
<ds:datastoreItem xmlns:ds="http://schemas.openxmlformats.org/officeDocument/2006/customXml" ds:itemID="{8440668B-8628-49E2-80CA-3AA86C22FA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Rick Bercuvitz</dc:creator>
  <cp:keywords/>
  <dc:description/>
  <cp:lastModifiedBy>Rick Bercuvitz</cp:lastModifiedBy>
  <cp:revision/>
  <dcterms:created xsi:type="dcterms:W3CDTF">2025-06-01T15:16:39Z</dcterms:created>
  <dcterms:modified xsi:type="dcterms:W3CDTF">2025-12-15T20:11:49Z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0x0101001FA8A4F0ED6AAC4DBF528CA16A446EBD</vt:lpwstr>
  </property>
  <property fmtid="{D5CDD505-2E9C-101B-9397-08002B2CF9AE}" pid="3" name="MediaServiceImageTags">
    <vt:lpwstr/>
  </property>
</Properties>
</file>