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mc:AlternateContent xmlns:mc="http://schemas.openxmlformats.org/markup-compatibility/2006">
    <mc:Choice Requires="x15">
      <x15ac:absPath xmlns:x15ac="http://schemas.microsoft.com/office/spreadsheetml/2010/11/ac" url="https://atlanticpackets-my.sharepoint.com/personal/rick_azorespv_com/Documents/"/>
    </mc:Choice>
  </mc:AlternateContent>
  <xr:revisionPtr revIDLastSave="0" documentId="8_{BA4EB35F-030F-4BD8-8BAD-025C9DE33AA6}" xr6:coauthVersionLast="47" xr6:coauthVersionMax="47" xr10:uidLastSave="{00000000-0000-0000-0000-000000000000}"/>
  <bookViews>
    <workbookView xWindow="-120" yWindow="-120" windowWidth="20730" windowHeight="11040" firstSheet="1" activeTab="1" xr2:uid="{A84FE5AB-1001-4AFA-9687-7BD4EB8DA019}"/>
  </bookViews>
  <sheets>
    <sheet name="LCOE" sheetId="10" r:id="rId1"/>
    <sheet name="CapEx" sheetId="2" r:id="rId2"/>
    <sheet name="BESS" sheetId="12" r:id="rId3"/>
    <sheet name="OpEx" sheetId="3" r:id="rId4"/>
    <sheet name="OpEx Detail" sheetId="1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C30" i="3"/>
  <c r="C29" i="3"/>
  <c r="C28" i="3"/>
  <c r="C27" i="3"/>
  <c r="C26" i="3"/>
  <c r="C25" i="3"/>
  <c r="C24" i="3"/>
  <c r="C23" i="3"/>
  <c r="C22" i="3"/>
  <c r="C19" i="3"/>
  <c r="C18" i="3"/>
  <c r="C17" i="3"/>
  <c r="C16" i="3"/>
  <c r="C13" i="3"/>
  <c r="C12" i="3"/>
  <c r="C11" i="3"/>
  <c r="C10" i="3"/>
  <c r="C9" i="3"/>
  <c r="C8" i="3"/>
  <c r="C7" i="3"/>
  <c r="C6" i="3"/>
  <c r="C5" i="3"/>
  <c r="D33" i="3"/>
  <c r="D31" i="3"/>
  <c r="D30" i="3"/>
  <c r="D29" i="3"/>
  <c r="D28" i="3"/>
  <c r="D27" i="3"/>
  <c r="D26" i="3"/>
  <c r="D25" i="3"/>
  <c r="D24" i="3"/>
  <c r="D23" i="3"/>
  <c r="D22" i="3"/>
  <c r="D19" i="3"/>
  <c r="D18" i="3"/>
  <c r="D17" i="3"/>
  <c r="D16" i="3"/>
  <c r="D13" i="3"/>
  <c r="D12" i="3"/>
  <c r="D11" i="3"/>
  <c r="D10" i="3"/>
  <c r="D9" i="3"/>
  <c r="D8" i="3"/>
  <c r="D7" i="3"/>
  <c r="D6" i="3"/>
  <c r="D5" i="3"/>
  <c r="K14" i="2"/>
  <c r="G14" i="2" l="1"/>
  <c r="F14" i="2" l="1"/>
  <c r="C7" i="12" l="1"/>
  <c r="I14" i="2" l="1"/>
  <c r="Q14" i="2" l="1"/>
  <c r="O14" i="2" l="1"/>
  <c r="M14" i="2" l="1"/>
  <c r="F3" i="12" l="1"/>
  <c r="I6" i="12" l="1"/>
  <c r="H6" i="12"/>
  <c r="G6" i="12"/>
  <c r="F6" i="12"/>
  <c r="E6" i="12"/>
  <c r="D6" i="12"/>
  <c r="C6" i="12"/>
  <c r="R15" i="2" l="1"/>
  <c r="P15" i="2"/>
  <c r="N15" i="2"/>
  <c r="L15" i="2"/>
  <c r="J15" i="2"/>
  <c r="H15" i="2"/>
  <c r="D15" i="2"/>
  <c r="H9" i="12" l="1"/>
  <c r="H10" i="12" s="1"/>
  <c r="G9" i="12"/>
  <c r="G10" i="12" s="1"/>
  <c r="F9" i="12"/>
  <c r="F10" i="12" s="1"/>
  <c r="D3" i="12"/>
  <c r="D7" i="12"/>
  <c r="B10" i="12" l="1"/>
  <c r="E4" i="10" l="1"/>
  <c r="D12" i="12" l="1"/>
  <c r="E7" i="3"/>
  <c r="B37" i="3" l="1"/>
  <c r="Q15" i="12" l="1"/>
  <c r="P15" i="12"/>
  <c r="H29" i="13" l="1"/>
  <c r="G29" i="13"/>
  <c r="F29" i="13"/>
  <c r="E29" i="13"/>
  <c r="D29" i="13"/>
  <c r="C29" i="13"/>
  <c r="B29" i="13"/>
  <c r="H28" i="13"/>
  <c r="G28" i="13"/>
  <c r="F28" i="13"/>
  <c r="E28" i="13"/>
  <c r="D28" i="13"/>
  <c r="C28" i="13"/>
  <c r="B28" i="13"/>
  <c r="H27" i="13"/>
  <c r="G27" i="13"/>
  <c r="F27" i="13"/>
  <c r="E27" i="13"/>
  <c r="D27" i="13"/>
  <c r="C27" i="13"/>
  <c r="B27" i="13"/>
  <c r="H26" i="13"/>
  <c r="G26" i="13"/>
  <c r="F26" i="13"/>
  <c r="E26" i="13"/>
  <c r="D26" i="13"/>
  <c r="C26" i="13"/>
  <c r="B26" i="13"/>
  <c r="H25" i="13"/>
  <c r="G25" i="13"/>
  <c r="F25" i="13"/>
  <c r="E25" i="13"/>
  <c r="D25" i="13"/>
  <c r="C25" i="13"/>
  <c r="B25" i="13"/>
  <c r="H24" i="13"/>
  <c r="G24" i="13"/>
  <c r="F24" i="13"/>
  <c r="E24" i="13"/>
  <c r="D24" i="13"/>
  <c r="C24" i="13"/>
  <c r="B24" i="13"/>
  <c r="H23" i="13"/>
  <c r="G23" i="13"/>
  <c r="F23" i="13"/>
  <c r="E23" i="13"/>
  <c r="D23" i="13"/>
  <c r="B23" i="13"/>
  <c r="H22" i="13"/>
  <c r="G22" i="13"/>
  <c r="F22" i="13"/>
  <c r="E22" i="13"/>
  <c r="D22" i="13"/>
  <c r="C22" i="13"/>
  <c r="B22" i="13"/>
  <c r="H21" i="13"/>
  <c r="G21" i="13"/>
  <c r="F21" i="13"/>
  <c r="E21" i="13"/>
  <c r="D21" i="13"/>
  <c r="C21" i="13"/>
  <c r="B21" i="13"/>
  <c r="H17" i="13"/>
  <c r="G17" i="13"/>
  <c r="F17" i="13"/>
  <c r="E17" i="13"/>
  <c r="D17" i="13"/>
  <c r="C17" i="13"/>
  <c r="B17" i="13"/>
  <c r="H16" i="13"/>
  <c r="G16" i="13"/>
  <c r="F16" i="13"/>
  <c r="E16" i="13"/>
  <c r="D16" i="13"/>
  <c r="B16" i="13"/>
  <c r="H15" i="13"/>
  <c r="G15" i="13"/>
  <c r="F15" i="13"/>
  <c r="E15" i="13"/>
  <c r="D15" i="13"/>
  <c r="C15" i="13"/>
  <c r="B15" i="13"/>
  <c r="H11" i="13"/>
  <c r="G11" i="13"/>
  <c r="F11" i="13"/>
  <c r="E11" i="13"/>
  <c r="D11" i="13"/>
  <c r="C11" i="13"/>
  <c r="B11" i="13"/>
  <c r="H10" i="13"/>
  <c r="G10" i="13"/>
  <c r="F10" i="13"/>
  <c r="E10" i="13"/>
  <c r="D10" i="13"/>
  <c r="C10" i="13"/>
  <c r="B10" i="13"/>
  <c r="H9" i="13"/>
  <c r="G9" i="13"/>
  <c r="F9" i="13"/>
  <c r="E9" i="13"/>
  <c r="D9" i="13"/>
  <c r="C9" i="13"/>
  <c r="B9" i="13"/>
  <c r="H8" i="13"/>
  <c r="G8" i="13"/>
  <c r="F8" i="13"/>
  <c r="E8" i="13"/>
  <c r="D8" i="13"/>
  <c r="B8" i="13"/>
  <c r="H7" i="13"/>
  <c r="G7" i="13"/>
  <c r="F7" i="13"/>
  <c r="E7" i="13"/>
  <c r="D7" i="13"/>
  <c r="B7" i="13"/>
  <c r="H5" i="13"/>
  <c r="G5" i="13"/>
  <c r="F5" i="13"/>
  <c r="E5" i="13"/>
  <c r="D5" i="13"/>
  <c r="C5" i="13"/>
  <c r="B5" i="13"/>
  <c r="D9" i="12" l="1"/>
  <c r="B6" i="13" l="1"/>
  <c r="H34" i="13" l="1"/>
  <c r="G34" i="13"/>
  <c r="F34" i="13"/>
  <c r="E34" i="13"/>
  <c r="C34" i="13"/>
  <c r="B34" i="13"/>
  <c r="H30" i="13"/>
  <c r="G30" i="13"/>
  <c r="F30" i="13"/>
  <c r="E30" i="13"/>
  <c r="D30" i="13"/>
  <c r="B30" i="13"/>
  <c r="H18" i="13"/>
  <c r="G18" i="13"/>
  <c r="F18" i="13"/>
  <c r="E18" i="13"/>
  <c r="D18" i="13"/>
  <c r="B18" i="13"/>
  <c r="B12" i="13"/>
  <c r="B32" i="13" l="1"/>
  <c r="B37" i="13" l="1"/>
  <c r="B38" i="13" s="1"/>
  <c r="G3" i="12" l="1"/>
  <c r="B3" i="12" l="1"/>
  <c r="I11" i="12" l="1"/>
  <c r="H8" i="12"/>
  <c r="H11" i="12"/>
  <c r="F8" i="12"/>
  <c r="F11" i="12"/>
  <c r="E8" i="12"/>
  <c r="E11" i="12"/>
  <c r="D8" i="12"/>
  <c r="D11" i="12"/>
  <c r="B11" i="12" s="1"/>
  <c r="C8" i="12"/>
  <c r="C11" i="12"/>
  <c r="I8" i="12"/>
  <c r="G11" i="12"/>
  <c r="G8" i="12"/>
  <c r="B12" i="12"/>
  <c r="B9" i="12"/>
  <c r="B8" i="12" l="1"/>
  <c r="B6" i="12"/>
  <c r="B7" i="12" l="1"/>
  <c r="C7" i="13" l="1"/>
  <c r="C6" i="13" l="1"/>
  <c r="L6" i="3" l="1"/>
  <c r="H6" i="13" s="1"/>
  <c r="H12" i="13" s="1"/>
  <c r="H32" i="13" s="1"/>
  <c r="H37" i="13" s="1"/>
  <c r="H38" i="13" s="1"/>
  <c r="K6" i="3" l="1"/>
  <c r="G6" i="13" s="1"/>
  <c r="G12" i="13" s="1"/>
  <c r="G32" i="13" s="1"/>
  <c r="G37" i="13" s="1"/>
  <c r="G38" i="13" s="1"/>
  <c r="J6" i="3" l="1"/>
  <c r="F6" i="13" s="1"/>
  <c r="F12" i="13" s="1"/>
  <c r="F32" i="13" s="1"/>
  <c r="F37" i="13" s="1"/>
  <c r="F38" i="13" s="1"/>
  <c r="E6" i="13"/>
  <c r="E12" i="13" s="1"/>
  <c r="E32" i="13" s="1"/>
  <c r="E37" i="13" s="1"/>
  <c r="E38" i="13" s="1"/>
  <c r="D6" i="13" l="1"/>
  <c r="D12" i="13" s="1"/>
  <c r="D32" i="13" s="1"/>
  <c r="R30" i="2" l="1"/>
  <c r="P30" i="2"/>
  <c r="N30" i="2"/>
  <c r="L30" i="2"/>
  <c r="H30" i="2"/>
  <c r="R28" i="2"/>
  <c r="P28" i="2"/>
  <c r="N28" i="2"/>
  <c r="L28" i="2"/>
  <c r="H28" i="2"/>
  <c r="Q32" i="2"/>
  <c r="O32" i="2"/>
  <c r="M32" i="2"/>
  <c r="K32" i="2"/>
  <c r="I32" i="2"/>
  <c r="R31" i="2"/>
  <c r="P31" i="2"/>
  <c r="N31" i="2"/>
  <c r="L31" i="2"/>
  <c r="H31" i="2"/>
  <c r="R29" i="2"/>
  <c r="P29" i="2"/>
  <c r="N29" i="2"/>
  <c r="L29" i="2"/>
  <c r="R27" i="2"/>
  <c r="P27" i="2"/>
  <c r="N27" i="2"/>
  <c r="L27" i="2"/>
  <c r="H27" i="2"/>
  <c r="P23" i="2"/>
  <c r="D31" i="2" l="1"/>
  <c r="D30" i="2"/>
  <c r="D28" i="2"/>
  <c r="R32" i="2"/>
  <c r="P32" i="2"/>
  <c r="N32" i="2"/>
  <c r="L32" i="2"/>
  <c r="H29" i="2"/>
  <c r="D29" i="2"/>
  <c r="F32" i="2"/>
  <c r="G32" i="2" l="1"/>
  <c r="H32" i="2" s="1"/>
  <c r="D32" i="2" l="1"/>
  <c r="R24" i="2" l="1"/>
  <c r="P24" i="2"/>
  <c r="L24" i="2"/>
  <c r="D24" i="2" l="1"/>
  <c r="H23" i="2"/>
  <c r="H14" i="2"/>
  <c r="N24" i="2"/>
  <c r="I37" i="2" l="1"/>
  <c r="D34" i="13" l="1"/>
  <c r="D37" i="13" s="1"/>
  <c r="D38" i="13" s="1"/>
  <c r="J30" i="2"/>
  <c r="J28" i="2"/>
  <c r="J31" i="2"/>
  <c r="J29" i="2"/>
  <c r="J27" i="2"/>
  <c r="J32" i="2"/>
  <c r="J24" i="2"/>
  <c r="H24" i="2"/>
  <c r="D37" i="2"/>
  <c r="B7" i="3" l="1"/>
  <c r="C15" i="2"/>
  <c r="B15" i="2" s="1"/>
  <c r="C28" i="2"/>
  <c r="B28" i="2" s="1"/>
  <c r="C29" i="2"/>
  <c r="B29" i="2" s="1"/>
  <c r="C30" i="2"/>
  <c r="B30" i="2" s="1"/>
  <c r="C31" i="2"/>
  <c r="B31" i="2" s="1"/>
  <c r="C32" i="2"/>
  <c r="B32" i="2" s="1"/>
  <c r="C24" i="2"/>
  <c r="B24" i="2" s="1"/>
  <c r="D10" i="2" l="1"/>
  <c r="K25" i="2" l="1"/>
  <c r="I18" i="2" l="1"/>
  <c r="F18" i="2"/>
  <c r="D14" i="2" l="1"/>
  <c r="D17" i="2"/>
  <c r="L35" i="3" l="1"/>
  <c r="L43" i="3" s="1"/>
  <c r="L44" i="3" s="1"/>
  <c r="K35" i="3"/>
  <c r="K43" i="3" s="1"/>
  <c r="K44" i="3" s="1"/>
  <c r="J35" i="3"/>
  <c r="J43" i="3" s="1"/>
  <c r="J44" i="3" s="1"/>
  <c r="I35" i="3"/>
  <c r="I43" i="3" s="1"/>
  <c r="I44" i="3" s="1"/>
  <c r="R23" i="2" l="1"/>
  <c r="R17" i="2"/>
  <c r="R16" i="2"/>
  <c r="R14" i="2"/>
  <c r="R13" i="2"/>
  <c r="R10" i="2"/>
  <c r="R9" i="2"/>
  <c r="R8" i="2"/>
  <c r="R7" i="2"/>
  <c r="R6" i="2"/>
  <c r="R5" i="2"/>
  <c r="P17" i="2"/>
  <c r="P16" i="2"/>
  <c r="P14" i="2"/>
  <c r="P10" i="2"/>
  <c r="P9" i="2"/>
  <c r="P8" i="2"/>
  <c r="P7" i="2"/>
  <c r="P6" i="2"/>
  <c r="P5" i="2"/>
  <c r="N23" i="2" l="1"/>
  <c r="N17" i="2"/>
  <c r="N16" i="2"/>
  <c r="N14" i="2"/>
  <c r="N12" i="2"/>
  <c r="N10" i="2"/>
  <c r="N9" i="2"/>
  <c r="N8" i="2"/>
  <c r="N7" i="2"/>
  <c r="N6" i="2"/>
  <c r="N5" i="2"/>
  <c r="L23" i="2"/>
  <c r="L17" i="2"/>
  <c r="L16" i="2"/>
  <c r="L14" i="2"/>
  <c r="L12" i="2"/>
  <c r="L10" i="2"/>
  <c r="L8" i="2"/>
  <c r="L7" i="2"/>
  <c r="L6" i="2"/>
  <c r="L5" i="2"/>
  <c r="H17" i="2" l="1"/>
  <c r="F35" i="3"/>
  <c r="F43" i="3" s="1"/>
  <c r="F44" i="3" s="1"/>
  <c r="H35" i="3"/>
  <c r="H43" i="3" s="1"/>
  <c r="H44" i="3" s="1"/>
  <c r="H10" i="2"/>
  <c r="G35" i="3"/>
  <c r="G43" i="3" s="1"/>
  <c r="G44" i="3" s="1"/>
  <c r="J23" i="2"/>
  <c r="J17" i="2"/>
  <c r="J16" i="2"/>
  <c r="J14" i="2"/>
  <c r="J12" i="2"/>
  <c r="J10" i="2"/>
  <c r="J9" i="2"/>
  <c r="J8" i="2"/>
  <c r="J7" i="2"/>
  <c r="J6" i="2"/>
  <c r="J5" i="2"/>
  <c r="H12" i="2"/>
  <c r="D23" i="2" l="1"/>
  <c r="C23" i="13" l="1"/>
  <c r="C30" i="13" s="1"/>
  <c r="G17" i="3"/>
  <c r="G9" i="3"/>
  <c r="C8" i="13" s="1"/>
  <c r="C12" i="13" s="1"/>
  <c r="G19" i="3" l="1"/>
  <c r="C16" i="13"/>
  <c r="C18" i="13" s="1"/>
  <c r="C32" i="13" s="1"/>
  <c r="C37" i="13" s="1"/>
  <c r="C38" i="13" s="1"/>
  <c r="G31" i="3"/>
  <c r="E22" i="3"/>
  <c r="E30" i="3"/>
  <c r="E12" i="3"/>
  <c r="E11" i="3"/>
  <c r="E10" i="3"/>
  <c r="E9" i="3"/>
  <c r="E8" i="3"/>
  <c r="E6" i="3"/>
  <c r="E29" i="3"/>
  <c r="E28" i="3"/>
  <c r="E27" i="3"/>
  <c r="E26" i="3"/>
  <c r="E25" i="3"/>
  <c r="E24" i="3"/>
  <c r="E23" i="3"/>
  <c r="E35" i="3"/>
  <c r="L31" i="3"/>
  <c r="K31" i="3"/>
  <c r="J31" i="3"/>
  <c r="I31" i="3"/>
  <c r="H31" i="3"/>
  <c r="F31" i="3"/>
  <c r="L19" i="3"/>
  <c r="K19" i="3"/>
  <c r="J19" i="3"/>
  <c r="I19" i="3"/>
  <c r="H19" i="3"/>
  <c r="E17" i="3"/>
  <c r="E16" i="3"/>
  <c r="L13" i="3"/>
  <c r="K13" i="3"/>
  <c r="J13" i="3"/>
  <c r="H13" i="3"/>
  <c r="I13" i="3"/>
  <c r="L9" i="2"/>
  <c r="I33" i="3" l="1"/>
  <c r="H33" i="3"/>
  <c r="J33" i="3"/>
  <c r="K33" i="3"/>
  <c r="L33" i="3"/>
  <c r="E31" i="3"/>
  <c r="F13" i="3"/>
  <c r="F19" i="3"/>
  <c r="I37" i="3" l="1"/>
  <c r="I38" i="3" s="1"/>
  <c r="H37" i="3"/>
  <c r="H38" i="3" s="1"/>
  <c r="L37" i="3"/>
  <c r="L38" i="3" s="1"/>
  <c r="K37" i="3"/>
  <c r="K38" i="3" s="1"/>
  <c r="J37" i="3"/>
  <c r="J38" i="3" s="1"/>
  <c r="E18" i="3"/>
  <c r="E43" i="3" s="1"/>
  <c r="G13" i="3"/>
  <c r="G33" i="3" s="1"/>
  <c r="E5" i="3"/>
  <c r="F33" i="3"/>
  <c r="E44" i="3" l="1"/>
  <c r="L40" i="3"/>
  <c r="L41" i="3" s="1"/>
  <c r="K40" i="3"/>
  <c r="K41" i="3" s="1"/>
  <c r="J40" i="3"/>
  <c r="J41" i="3" s="1"/>
  <c r="I40" i="3"/>
  <c r="I41" i="3" s="1"/>
  <c r="H40" i="3"/>
  <c r="H41" i="3" s="1"/>
  <c r="F37" i="3"/>
  <c r="F38" i="3" s="1"/>
  <c r="G37" i="3"/>
  <c r="G38" i="3" s="1"/>
  <c r="E13" i="3"/>
  <c r="E19" i="3"/>
  <c r="F40" i="3" l="1"/>
  <c r="F41" i="3" s="1"/>
  <c r="G40" i="3"/>
  <c r="G41" i="3" s="1"/>
  <c r="E33" i="3"/>
  <c r="E37" i="3" l="1"/>
  <c r="E38" i="3" s="1"/>
  <c r="E40" i="3" l="1"/>
  <c r="E41" i="3" s="1"/>
  <c r="D16" i="2"/>
  <c r="Q25" i="2"/>
  <c r="R25" i="2" s="1"/>
  <c r="O25" i="2"/>
  <c r="P25" i="2" s="1"/>
  <c r="M25" i="2"/>
  <c r="N25" i="2" s="1"/>
  <c r="L25" i="2"/>
  <c r="I25" i="2"/>
  <c r="G25" i="2"/>
  <c r="H25" i="2" s="1"/>
  <c r="F25" i="2"/>
  <c r="C23" i="2"/>
  <c r="B23" i="2" s="1"/>
  <c r="Q18" i="2"/>
  <c r="R18" i="2" s="1"/>
  <c r="O18" i="2"/>
  <c r="P18" i="2" s="1"/>
  <c r="M18" i="2"/>
  <c r="N18" i="2" s="1"/>
  <c r="K18" i="2"/>
  <c r="L18" i="2" s="1"/>
  <c r="J18" i="2"/>
  <c r="C17" i="2"/>
  <c r="B17" i="2" s="1"/>
  <c r="C10" i="2"/>
  <c r="B10" i="2" s="1"/>
  <c r="Q11" i="2"/>
  <c r="O11" i="2"/>
  <c r="M11" i="2"/>
  <c r="K11" i="2"/>
  <c r="I11" i="2"/>
  <c r="I20" i="2" s="1"/>
  <c r="F11" i="2"/>
  <c r="F20" i="2" s="1"/>
  <c r="J20" i="2" l="1"/>
  <c r="G11" i="2"/>
  <c r="H11" i="2" s="1"/>
  <c r="Q34" i="2"/>
  <c r="Q20" i="2"/>
  <c r="R20" i="2" s="1"/>
  <c r="O34" i="2"/>
  <c r="O20" i="2"/>
  <c r="M20" i="2"/>
  <c r="K20" i="2"/>
  <c r="F34" i="2"/>
  <c r="J11" i="2"/>
  <c r="I34" i="2"/>
  <c r="L11" i="2"/>
  <c r="K34" i="2"/>
  <c r="N11" i="2"/>
  <c r="M34" i="2"/>
  <c r="P11" i="2"/>
  <c r="R11" i="2"/>
  <c r="C14" i="2"/>
  <c r="B14" i="2" s="1"/>
  <c r="B16" i="3"/>
  <c r="B17" i="3"/>
  <c r="B23" i="3"/>
  <c r="B24" i="3"/>
  <c r="B25" i="3"/>
  <c r="B26" i="3"/>
  <c r="B27" i="3"/>
  <c r="B28" i="3"/>
  <c r="B29" i="3"/>
  <c r="B6" i="3"/>
  <c r="B8" i="3"/>
  <c r="B9" i="3"/>
  <c r="B10" i="3"/>
  <c r="B11" i="3"/>
  <c r="B12" i="3"/>
  <c r="B30" i="3"/>
  <c r="B22" i="3"/>
  <c r="B31" i="3"/>
  <c r="B5" i="3"/>
  <c r="B18" i="3"/>
  <c r="B19" i="3"/>
  <c r="B13" i="3"/>
  <c r="C16" i="2"/>
  <c r="B16" i="2" s="1"/>
  <c r="H6" i="2"/>
  <c r="D6" i="2"/>
  <c r="H7" i="2"/>
  <c r="D7" i="2"/>
  <c r="H8" i="2"/>
  <c r="D8" i="2"/>
  <c r="H9" i="2"/>
  <c r="D9" i="2"/>
  <c r="H5" i="2"/>
  <c r="D5" i="2"/>
  <c r="J25" i="2"/>
  <c r="D25" i="2"/>
  <c r="C25" i="2" s="1"/>
  <c r="B25" i="2" s="1"/>
  <c r="H16" i="2"/>
  <c r="G18" i="2"/>
  <c r="N20" i="2" l="1"/>
  <c r="L20" i="2"/>
  <c r="P20" i="2"/>
  <c r="D11" i="2"/>
  <c r="C11" i="2" s="1"/>
  <c r="B11" i="2" s="1"/>
  <c r="G34" i="2"/>
  <c r="H34" i="2" s="1"/>
  <c r="G20" i="2"/>
  <c r="Q36" i="2"/>
  <c r="P35" i="2"/>
  <c r="N35" i="2"/>
  <c r="K36" i="2"/>
  <c r="I36" i="2"/>
  <c r="C5" i="2"/>
  <c r="B5" i="2" s="1"/>
  <c r="C9" i="2"/>
  <c r="B9" i="2" s="1"/>
  <c r="C8" i="2"/>
  <c r="B8" i="2" s="1"/>
  <c r="C7" i="2"/>
  <c r="B7" i="2" s="1"/>
  <c r="C6" i="2"/>
  <c r="B6" i="2" s="1"/>
  <c r="C33" i="3"/>
  <c r="B33" i="3" s="1"/>
  <c r="R34" i="2"/>
  <c r="P34" i="2"/>
  <c r="N34" i="2"/>
  <c r="L34" i="2"/>
  <c r="H18" i="2"/>
  <c r="D18" i="2"/>
  <c r="J34" i="2"/>
  <c r="D34" i="2" l="1"/>
  <c r="D20" i="2"/>
  <c r="C20" i="2" s="1"/>
  <c r="G36" i="2"/>
  <c r="R36" i="2"/>
  <c r="R35" i="2"/>
  <c r="H20" i="2"/>
  <c r="O36" i="2"/>
  <c r="C18" i="2"/>
  <c r="B18" i="2" s="1"/>
  <c r="M36" i="2"/>
  <c r="F36" i="2"/>
  <c r="L36" i="2"/>
  <c r="L35" i="2"/>
  <c r="J35" i="2"/>
  <c r="E10" i="2" l="1"/>
  <c r="E15" i="2"/>
  <c r="B20" i="2"/>
  <c r="E7" i="2"/>
  <c r="E8" i="2"/>
  <c r="E31" i="2"/>
  <c r="E30" i="2"/>
  <c r="E25" i="2"/>
  <c r="E32" i="2"/>
  <c r="E5" i="2"/>
  <c r="E24" i="2"/>
  <c r="E16" i="2"/>
  <c r="E29" i="2"/>
  <c r="C34" i="2"/>
  <c r="B34" i="2" s="1"/>
  <c r="E11" i="2"/>
  <c r="E28" i="2"/>
  <c r="E18" i="2"/>
  <c r="E23" i="2"/>
  <c r="E6" i="2"/>
  <c r="E14" i="2"/>
  <c r="E17" i="2"/>
  <c r="E9" i="2"/>
  <c r="D35" i="2"/>
  <c r="C35" i="2" s="1"/>
  <c r="H35" i="2"/>
  <c r="P36" i="2"/>
  <c r="N36" i="2"/>
  <c r="H36" i="2"/>
  <c r="J36" i="2"/>
  <c r="D36" i="2"/>
  <c r="E20" i="2" l="1"/>
  <c r="E35" i="2"/>
  <c r="B35" i="2" s="1"/>
  <c r="C36" i="2"/>
  <c r="E36" i="2"/>
  <c r="B36" i="2" l="1"/>
  <c r="C14" i="12" l="1"/>
  <c r="C4" i="12" s="1"/>
  <c r="G14" i="12"/>
  <c r="G4" i="12" s="1"/>
  <c r="I14" i="12"/>
  <c r="I4" i="12" s="1"/>
  <c r="H14" i="12"/>
  <c r="H4" i="12" s="1"/>
  <c r="E14" i="12"/>
  <c r="E4" i="12" s="1"/>
  <c r="D14" i="12"/>
  <c r="D4" i="12" s="1"/>
  <c r="F14" i="12"/>
  <c r="F4" i="12" s="1"/>
  <c r="B14" i="12" l="1"/>
  <c r="B4" i="12" s="1"/>
</calcChain>
</file>

<file path=xl/sharedStrings.xml><?xml version="1.0" encoding="utf-8"?>
<sst xmlns="http://schemas.openxmlformats.org/spreadsheetml/2006/main" count="261" uniqueCount="184">
  <si>
    <t>Parâmetros</t>
  </si>
  <si>
    <t>Anos:</t>
  </si>
  <si>
    <t>LCOE:</t>
  </si>
  <si>
    <t>PV &amp; BESS</t>
  </si>
  <si>
    <t>Taxa de Desconto</t>
  </si>
  <si>
    <t>Total por grupo de ilhas</t>
  </si>
  <si>
    <t>São Miguel</t>
  </si>
  <si>
    <t>Terceira</t>
  </si>
  <si>
    <t>Pico</t>
  </si>
  <si>
    <t>Faial</t>
  </si>
  <si>
    <t>São Jorge</t>
  </si>
  <si>
    <t>Sta Maria</t>
  </si>
  <si>
    <t>Todas as Ilhas</t>
  </si>
  <si>
    <t>SM/TER</t>
  </si>
  <si>
    <t>Pic/Fai/SJ</t>
  </si>
  <si>
    <t>Nascente</t>
  </si>
  <si>
    <t>Poente</t>
  </si>
  <si>
    <t>Combinado</t>
  </si>
  <si>
    <t>LCOE PV &amp; BESS</t>
  </si>
  <si>
    <t>VPL de CapEx</t>
  </si>
  <si>
    <t>€</t>
  </si>
  <si>
    <t>VPL de OpEx</t>
  </si>
  <si>
    <t>VPL dos custos de carregamento</t>
  </si>
  <si>
    <t>VPL de kwh Produzidos e Vendidos</t>
  </si>
  <si>
    <t>kWh</t>
  </si>
  <si>
    <t>LCOE (PV Produzido e Vendido)</t>
  </si>
  <si>
    <t>€/MWh</t>
  </si>
  <si>
    <t>Despesas do Projeto</t>
  </si>
  <si>
    <t>Total</t>
  </si>
  <si>
    <t>Santa Maria</t>
  </si>
  <si>
    <t>Notes</t>
  </si>
  <si>
    <t>Despesas de Capital</t>
  </si>
  <si>
    <t>$/watt</t>
  </si>
  <si>
    <t>€ /watt</t>
  </si>
  <si>
    <t>%</t>
  </si>
  <si>
    <t>EUR Cost</t>
  </si>
  <si>
    <t>Equipamento</t>
  </si>
  <si>
    <t>Painéis solares</t>
  </si>
  <si>
    <t>EU Market Outlook for Solar Power 2024-2028 - SolarPower Europe</t>
  </si>
  <si>
    <t>Inclui frete e margem para eventuais tarifas.</t>
  </si>
  <si>
    <t>Racks e Posts</t>
  </si>
  <si>
    <t>Estimativa de preços com base em pesquisas on-line. Aprox. .09 USD por watt mais frete.</t>
  </si>
  <si>
    <t>Inversores e Transformadores</t>
  </si>
  <si>
    <t>Estimativa de preços com base em cotações informais de fornecedores. O preço varia de acordo com o tamanho do inversor. Inversores de armazenamento bidirecionais um pouco mais caros. Os custos de envio adicionam cerca de 8%-9%, dependendo da ilha. Aprox. 0,08 cêntimos de euro por watt para inversores unidirecionais, mais 10% para bidirecionais, 25 000 por unidade para conversores DC-CC. depending on island. Approx .08 Euro cents per watt for unidirectional inverters, 10% more for bidirectional, 25,000 per unit for DC-to-DC converters.</t>
  </si>
  <si>
    <t>Baterias</t>
  </si>
  <si>
    <t>Preço projetado de 145/kwh.</t>
  </si>
  <si>
    <t>Balance-of System (BOS)</t>
  </si>
  <si>
    <t>Estimativa de preços com base em pesquisas on-line. Aprox. 0,05-0,6 USD por watt.</t>
  </si>
  <si>
    <t>Interligação à rede</t>
  </si>
  <si>
    <t>Não inclui quaisquer taxas de interligação à rede. Inclui o funcionamento de linhas elétricas subterrâneas até a subestação mais próxima, na qual cada local se interligará à rede. Este projeto será gerido pela EDA e cobriremos os custos de capital mais mão de obra. O custo varia de ilha para ilha. Em São Miguel, temos de cobrir o custo de um upgrade para o autocarro de 60kV na subestação da Lagoa.</t>
  </si>
  <si>
    <t>Total de Equipamentos</t>
  </si>
  <si>
    <t>Mão de obra e engenharia</t>
  </si>
  <si>
    <t>Mão de obra</t>
  </si>
  <si>
    <t>Estimativas detalhadas de mão de obra por projeto podem ser encontradas na guia mão de obra de construção na planilha do projeto para cada ilha. Para as ilhas mais pequenas, foi acrescentada uma contingência adicional para alojamento e viagens para os trabalhadores, que terão de ser trazidos de outras ilhas ou, possivelmente, do continente.</t>
  </si>
  <si>
    <t>Transporte e Logística</t>
  </si>
  <si>
    <t>Preparação de Locais (Estradas, Drenagem, Vedações)</t>
  </si>
  <si>
    <t>Custos estimados com base nas taxas locais para a construção de estradas, derramamento de concreto, nivelamento de terrenos e instalação de cercas.</t>
  </si>
  <si>
    <t>Engenharia (EPC) e Integrador de Sistemas</t>
  </si>
  <si>
    <t>Suponha 10% de markup em equipamentos de capital e preparação do local mais 25% de markup em trabalho não administrativo. Taxa do integrador de sistemas estimada em 10% da taxa EPC.</t>
  </si>
  <si>
    <t>Total de Mão de Obra e Engenharia</t>
  </si>
  <si>
    <t>Total de Despesas de Capital</t>
  </si>
  <si>
    <t>Custos do Proprietário</t>
  </si>
  <si>
    <t>Custos Operacionais durante a Construção</t>
  </si>
  <si>
    <t>Principalmente aluguel de terrenos</t>
  </si>
  <si>
    <t>Taxa do desenvolvedor</t>
  </si>
  <si>
    <t>0,15/watt - consistente com as normas da indústria</t>
  </si>
  <si>
    <t>Custos totais do proprietário</t>
  </si>
  <si>
    <t>Custos de Financiamento</t>
  </si>
  <si>
    <t>Taxas de Empréstimo</t>
  </si>
  <si>
    <t>1,5% do empréstimo bancário</t>
  </si>
  <si>
    <t>Juros durante a construção</t>
  </si>
  <si>
    <t>5,6% sobre a dívida bancária, 12% sobre a dívida subordinada.</t>
  </si>
  <si>
    <t>Capital de Giro</t>
  </si>
  <si>
    <t>Média de 1,4% dos custos totais do projeto.</t>
  </si>
  <si>
    <t>Conta de reserva do serviço da dívida</t>
  </si>
  <si>
    <t>Não pagável até o início das operações, mas contabilizado no custo total do projeto. 6 meses de pagamentos de empréstimos bancários</t>
  </si>
  <si>
    <t>Custos totais de financiamento</t>
  </si>
  <si>
    <t>Despesas totais do projeto</t>
  </si>
  <si>
    <t>Média EUR 1,30 /watt</t>
  </si>
  <si>
    <t>Custo PV</t>
  </si>
  <si>
    <t>Média de 0,90 euros/watt.</t>
  </si>
  <si>
    <t>Custo BESS</t>
  </si>
  <si>
    <t>Média de EUR 0,40 / watt.</t>
  </si>
  <si>
    <t>Total MW DC</t>
  </si>
  <si>
    <t>Despesas do Projeto (BESS)</t>
  </si>
  <si>
    <t>Total kWh BESS</t>
  </si>
  <si>
    <t>BESS CapEx / kwh*</t>
  </si>
  <si>
    <t>Custos:</t>
  </si>
  <si>
    <t xml:space="preserve">Baterías </t>
  </si>
  <si>
    <t>Instalação</t>
  </si>
  <si>
    <t>Preparação do Local</t>
  </si>
  <si>
    <t>Inversores</t>
  </si>
  <si>
    <t>Inversores (Grid-Forming)</t>
  </si>
  <si>
    <t>Fiação etc.</t>
  </si>
  <si>
    <t>Engenharia</t>
  </si>
  <si>
    <t>BESS (Total)</t>
  </si>
  <si>
    <t>*Excluindo inversores adicionais para grid-forming e custos financeiros</t>
  </si>
  <si>
    <t>Despesas Operacionais</t>
  </si>
  <si>
    <t>Cost/kw/Ano</t>
  </si>
  <si>
    <t>Por Ano</t>
  </si>
  <si>
    <t>Observações</t>
  </si>
  <si>
    <t>Vida útil do projeto de 25 anos</t>
  </si>
  <si>
    <t>USD</t>
  </si>
  <si>
    <t>EUR</t>
  </si>
  <si>
    <t>Despesas de Manutenção</t>
  </si>
  <si>
    <t xml:space="preserve">      Substituição de peças de painel solar</t>
  </si>
  <si>
    <t>EUR 1,00 /kw / ano aumento da taxa de inflação</t>
  </si>
  <si>
    <t xml:space="preserve">      Substituição de peças elétricas</t>
  </si>
  <si>
    <t>EUR 1,00 /kw / ano aumentando a taxa de inflação. Inclui manutenção do inversor.</t>
  </si>
  <si>
    <t xml:space="preserve">      Garantia</t>
  </si>
  <si>
    <t xml:space="preserve">      Manutenção do sistema de baterias</t>
  </si>
  <si>
    <t>3% dos custos de capital para bateria.</t>
  </si>
  <si>
    <t>Final - ESGC Cost Performance Report 12-11-2020.pdf (pnnl.gov)</t>
  </si>
  <si>
    <t xml:space="preserve">      Reparações de Infraestruturas Informáticas</t>
  </si>
  <si>
    <t>EUR 125.00 por site, por mês após os primeiros 4 anos</t>
  </si>
  <si>
    <t xml:space="preserve">      Ferramentas e suprimentos diversos</t>
  </si>
  <si>
    <t xml:space="preserve">      Pessoal de Manutenção</t>
  </si>
  <si>
    <t>Pessoal permanente de 1 a 5 pessoas por local. Um eletricista, uma a quatro manutenções gerais e remoção de vegetação. Estes custos são mais elevados do que as normas noutros locais, porque cada local se situa numa ilha e deve haver pessoal disponível localmente em caso de mau funcionamento do sistema.</t>
  </si>
  <si>
    <t xml:space="preserve">      Custo de descomissionamento</t>
  </si>
  <si>
    <t>Custo do local de desmontagem no final da vida útil do projeto, incluindo o envio de peças usadas para outro lugar. Estimado em 10 cêntimos por watt.</t>
  </si>
  <si>
    <t>Despesas totais de manutenção</t>
  </si>
  <si>
    <t>Custos Operacionais</t>
  </si>
  <si>
    <t xml:space="preserve">      Aplicações informáticas</t>
  </si>
  <si>
    <t>Software de operação para inversores, monitoramento de cordas, previsão do tempo, etc. Estimativa de 100.000 por ano em todos os locais, além da despesa de capital inicial.</t>
  </si>
  <si>
    <t xml:space="preserve">      Bandwidth (internet)</t>
  </si>
  <si>
    <t>Necessário para a transmissão de informações em tempo real de e para o sistema de software da EDA.</t>
  </si>
  <si>
    <t xml:space="preserve">      Consumo de Eletricidade</t>
  </si>
  <si>
    <t>Eletricidade para refrigerar recipientes de bateria. Varia de acordo com o site. Com base no número de recipientes de bateria. Alguns serão adquiridos à EDA, outros diretamente da nossa produção, outros ao nosso BESS. Aproximadamente 500.000 por ano em todos os locais. Aproximadamente 10kw por hora para cada contentor BESS de 2MWh.from our BESS. Approximately 500,000 per year across all sites.. Approximately 10kw per hour for each 2MWh BESS container.</t>
  </si>
  <si>
    <t>Custos Operacionais Totais</t>
  </si>
  <si>
    <t>Despesas Administrativas</t>
  </si>
  <si>
    <t xml:space="preserve">      Taxa de Administração</t>
  </si>
  <si>
    <t>Taxas de administração de terceiros. 2% da receita bruta</t>
  </si>
  <si>
    <t xml:space="preserve">      Viagens</t>
  </si>
  <si>
    <t>Cobre viagens de pessoal técnico entre as ilhas; especialmente engenheiro sênior de painéis solares e engenheiro sênior de sistemas de bateria.</t>
  </si>
  <si>
    <t xml:space="preserve">      Contabilidade</t>
  </si>
  <si>
    <t xml:space="preserve">      Seguros</t>
  </si>
  <si>
    <t>Estimado em 0,3% do CapEx.</t>
  </si>
  <si>
    <t>For Solar Developers - Solar Property Insurance is Priced (solarinsure.com)</t>
  </si>
  <si>
    <t xml:space="preserve">      Avisos legais</t>
  </si>
  <si>
    <t xml:space="preserve">      Arrendamento de Terrenos</t>
  </si>
  <si>
    <t>Terrenos adquiridos e financiados através de empresa separada. A empresa fundiária vende direitos de superfície a empresas operadoras, que pagam à empresa de terras uma taxa mensal para cobrir os custos da empresa de terras. Com base nos preços dos terrenos negociados com os proprietários, variando entre os 5 e os 8 euros por metro quadrado.</t>
  </si>
  <si>
    <t xml:space="preserve">      Alvarás e Taxas</t>
  </si>
  <si>
    <t>Estimativa de 1000 /ha / ano + 1000 EUR/MW</t>
  </si>
  <si>
    <t xml:space="preserve">      Consultoria Profissional Diversa</t>
  </si>
  <si>
    <t xml:space="preserve">      Despesas de administração diversas</t>
  </si>
  <si>
    <t>Total das Despesas Administrativas</t>
  </si>
  <si>
    <t>Total de Despesas Operacionais</t>
  </si>
  <si>
    <t>NREL:</t>
  </si>
  <si>
    <t>Custo por kW / ano (EUR)</t>
  </si>
  <si>
    <t>Custo por kW / ano (USD)</t>
  </si>
  <si>
    <t xml:space="preserve">PV  </t>
  </si>
  <si>
    <t>BESS</t>
  </si>
  <si>
    <t>Custo por kWh</t>
  </si>
  <si>
    <t>NREL Benchmarks:</t>
  </si>
  <si>
    <t>https://atb.nrel.gov/electricity/2024/utility-scale_pv-plus-battery</t>
  </si>
  <si>
    <t>O grande banco de dados NREL dos EUA é a base principal para comparação com normas e tendências do setor.</t>
  </si>
  <si>
    <t xml:space="preserve">O projeto médio no banco de dados (100MW) é maior que o nosso, </t>
  </si>
  <si>
    <t xml:space="preserve"> então é de se esperar que o custo por watt seja menor que os nossos custos.</t>
  </si>
  <si>
    <t>Para fins de comparação, selecionamos PV+bateria, zona 10 (menor irradiação), média de 3 cenários.</t>
  </si>
  <si>
    <t>Convertido a 1,0/1,10 EUR/USD</t>
  </si>
  <si>
    <t>Vida útil do projeto de 35 anos</t>
  </si>
  <si>
    <t xml:space="preserve">  Substituição de peças de painel solar</t>
  </si>
  <si>
    <t xml:space="preserve">  Substituição de peças elétricas</t>
  </si>
  <si>
    <t xml:space="preserve">  Manutenção do sistema de baterias</t>
  </si>
  <si>
    <t xml:space="preserve">  Reparações de Infraestruturas Informáticas</t>
  </si>
  <si>
    <t xml:space="preserve">  Ferramentas e suprimentos diversos</t>
  </si>
  <si>
    <t xml:space="preserve">  Pessoal de Manutenção</t>
  </si>
  <si>
    <t xml:space="preserve">  Custo de descomissionamento</t>
  </si>
  <si>
    <t xml:space="preserve">  Aplicações informáticas</t>
  </si>
  <si>
    <t xml:space="preserve">  Bandwidth (internet)</t>
  </si>
  <si>
    <t xml:space="preserve">  Consumo de Eletricidade</t>
  </si>
  <si>
    <t xml:space="preserve">  Taxa de Administração</t>
  </si>
  <si>
    <t xml:space="preserve">  Viagens</t>
  </si>
  <si>
    <t xml:space="preserve">  Contabilidade</t>
  </si>
  <si>
    <t xml:space="preserve">  Seguros</t>
  </si>
  <si>
    <t>Estimado em EUR 10.000 mais 0,2% do CapEx.</t>
  </si>
  <si>
    <t xml:space="preserve">  Avisos legais</t>
  </si>
  <si>
    <t xml:space="preserve">  Arrendamento de Terrenos</t>
  </si>
  <si>
    <t xml:space="preserve">  Alvarás e Taxas</t>
  </si>
  <si>
    <t xml:space="preserve">  Consultoria Profissional Diversa</t>
  </si>
  <si>
    <t xml:space="preserve">  Despesas de administração diversas</t>
  </si>
  <si>
    <t>Custo por kw /ano (excluindo BESS)</t>
  </si>
  <si>
    <t>Custo por Kw / ano (EUR)</t>
  </si>
  <si>
    <t>Custo por Kw / ano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</si>
</sst>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_);_(* \(#,##0.0\);_(* &quot;-&quot;??_);_(@_)"/>
    <numFmt numFmtId="165" formatCode="_(* #,##0_);_(* \(#,##0\);_(* &quot;-&quot;??_);_(@_)"/>
    <numFmt numFmtId="166" formatCode="0.0%"/>
    <numFmt numFmtId="167" formatCode="_([$€-2]\ * #,##0.00_);_([$€-2]\ * \(#,##0.00\);_([$€-2]\ * &quot;-&quot;??_);_(@_)"/>
    <numFmt numFmtId="168" formatCode="_([$€-2]\ * #,##0.000_);_([$€-2]\ * \(#,##0.000\);_([$€-2]\ * &quot;-&quot;??_);_(@_)"/>
    <numFmt numFmtId="169" formatCode="_(* #,##0.0_);_(* \(#,##0.0\);_(* &quot;-&quot;?_);_(@_)"/>
    <numFmt numFmtId="170" formatCode="_([$€-2]\ * #,##0_);_([$€-2]\ * \(#,##0\);_([$€-2]\ *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9"/>
      <color theme="1"/>
      <name val="Aptos Narrow"/>
      <family val="2"/>
      <scheme val="minor"/>
    </font>
    <font>
      <sz val="9"/>
      <color theme="1"/>
      <name val="Aptos Narrow"/>
      <family val="2"/>
      <scheme val="minor"/>
    </font>
    <font>
      <b/>
      <sz val="10"/>
      <color theme="1"/>
      <name val="Calibri"/>
      <family val="2"/>
    </font>
    <font>
      <sz val="10"/>
      <color theme="1"/>
      <name val="Calibri"/>
      <family val="2"/>
    </font>
    <font>
      <i/>
      <sz val="10"/>
      <color theme="1"/>
      <name val="Calibri"/>
      <family val="2"/>
    </font>
    <font>
      <b/>
      <i/>
      <sz val="10"/>
      <color theme="1"/>
      <name val="Calibri"/>
      <family val="2"/>
    </font>
    <font>
      <b/>
      <sz val="9"/>
      <color theme="1"/>
      <name val="Calibri"/>
      <family val="2"/>
    </font>
    <font>
      <sz val="9"/>
      <color theme="1"/>
      <name val="Calibri"/>
      <family val="2"/>
    </font>
    <font>
      <b/>
      <i/>
      <sz val="9"/>
      <color theme="1"/>
      <name val="Calibri"/>
      <family val="2"/>
    </font>
    <font>
      <u/>
      <sz val="10"/>
      <color theme="10"/>
      <name val="Calibri"/>
      <family val="2"/>
    </font>
    <font>
      <u/>
      <sz val="9"/>
      <color theme="10"/>
      <name val="Calibri"/>
      <family val="2"/>
    </font>
    <font>
      <i/>
      <sz val="9"/>
      <color theme="1"/>
      <name val="Calibri"/>
      <family val="2"/>
    </font>
    <font>
      <u/>
      <sz val="9"/>
      <color theme="10"/>
      <name val="Aptos Narrow"/>
      <family val="2"/>
      <scheme val="minor"/>
    </font>
    <font>
      <sz val="8"/>
      <color rgb="FF000000"/>
      <name val="Calibri"/>
      <family val="2"/>
    </font>
    <font>
      <b/>
      <sz val="8"/>
      <color rgb="FF000000"/>
      <name val="Calibri"/>
      <family val="2"/>
    </font>
    <font>
      <sz val="11"/>
      <color theme="1"/>
      <name val="Aptos Narrow"/>
      <family val="2"/>
    </font>
    <font>
      <sz val="10"/>
      <color rgb="FF000000"/>
      <name val="Aptos Narrow"/>
      <family val="2"/>
    </font>
    <font>
      <b/>
      <sz val="11"/>
      <color rgb="FF000000"/>
      <name val="Aptos Narrow"/>
      <family val="2"/>
    </font>
    <font>
      <b/>
      <sz val="10"/>
      <color rgb="FF000000"/>
      <name val="Aptos Narrow"/>
      <family val="2"/>
    </font>
    <font>
      <sz val="9"/>
      <color rgb="FF000000"/>
      <name val="Calibri"/>
      <family val="2"/>
    </font>
    <font>
      <b/>
      <sz val="9"/>
      <color rgb="FF000000"/>
      <name val="Calibri"/>
      <family val="2"/>
    </font>
    <font>
      <b/>
      <sz val="9"/>
      <color rgb="FF000000"/>
      <name val="Aptos Narrow"/>
      <family val="2"/>
    </font>
    <font>
      <sz val="10"/>
      <name val="Calibri"/>
      <family val="2"/>
    </font>
  </fonts>
  <fills count="7">
    <fill>
      <patternFill patternType="none"/>
    </fill>
    <fill>
      <patternFill patternType="gray125"/>
    </fill>
    <fill>
      <patternFill patternType="solid">
        <fgColor theme="3" tint="0.749992370372631"/>
        <bgColor indexed="64"/>
      </patternFill>
    </fill>
    <fill>
      <patternFill patternType="solid">
        <fgColor theme="4" tint="0.79998168889431442"/>
        <bgColor indexed="64"/>
      </patternFill>
    </fill>
    <fill>
      <patternFill patternType="solid">
        <fgColor rgb="FF4D93D9"/>
        <bgColor rgb="FF000000"/>
      </patternFill>
    </fill>
    <fill>
      <patternFill patternType="solid">
        <fgColor rgb="FFA6C9EC"/>
        <bgColor rgb="FF000000"/>
      </patternFill>
    </fill>
    <fill>
      <patternFill patternType="solid">
        <fgColor rgb="FFDAE9F8"/>
        <bgColor rgb="FF000000"/>
      </patternFill>
    </fill>
  </fills>
  <borders count="2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0">
    <xf numFmtId="0" fontId="0" fillId="0" borderId="0" xfId="0"/>
    <xf numFmtId="0" fontId="0" fillId="2" borderId="0" xfId="0" applyFill="1"/>
    <xf numFmtId="0" fontId="2" fillId="2" borderId="0" xfId="0" applyFont="1" applyFill="1" applyAlignment="1">
      <alignment horizontal="center"/>
    </xf>
    <xf numFmtId="0" fontId="0" fillId="3" borderId="0" xfId="0" applyFill="1"/>
    <xf numFmtId="0" fontId="3" fillId="3" borderId="0" xfId="4" applyFill="1"/>
    <xf numFmtId="0" fontId="3" fillId="3" borderId="0" xfId="4" applyFill="1" applyAlignment="1">
      <alignment horizontal="left"/>
    </xf>
    <xf numFmtId="49" fontId="3" fillId="3" borderId="0" xfId="4" applyNumberFormat="1" applyFill="1" applyAlignment="1"/>
    <xf numFmtId="165" fontId="6" fillId="3" borderId="0" xfId="1" applyNumberFormat="1" applyFont="1" applyFill="1" applyBorder="1"/>
    <xf numFmtId="165" fontId="7" fillId="3" borderId="0" xfId="1" applyNumberFormat="1" applyFont="1" applyFill="1" applyBorder="1"/>
    <xf numFmtId="165" fontId="7" fillId="3" borderId="5" xfId="1" applyNumberFormat="1" applyFont="1" applyFill="1" applyBorder="1"/>
    <xf numFmtId="165" fontId="6" fillId="3" borderId="1" xfId="1" applyNumberFormat="1" applyFont="1" applyFill="1" applyBorder="1"/>
    <xf numFmtId="165" fontId="7" fillId="3" borderId="1" xfId="1" applyNumberFormat="1" applyFont="1" applyFill="1" applyBorder="1"/>
    <xf numFmtId="167" fontId="7" fillId="3" borderId="5" xfId="1" applyNumberFormat="1" applyFont="1" applyFill="1" applyBorder="1"/>
    <xf numFmtId="0" fontId="10" fillId="2" borderId="8" xfId="0" applyFont="1" applyFill="1" applyBorder="1"/>
    <xf numFmtId="0" fontId="10" fillId="2" borderId="9" xfId="0" applyFont="1" applyFill="1" applyBorder="1" applyAlignment="1">
      <alignment horizontal="center"/>
    </xf>
    <xf numFmtId="0" fontId="10" fillId="2" borderId="10" xfId="0" applyFont="1" applyFill="1" applyBorder="1" applyAlignment="1">
      <alignment horizontal="center"/>
    </xf>
    <xf numFmtId="0" fontId="11" fillId="2" borderId="4" xfId="0" applyFont="1" applyFill="1" applyBorder="1"/>
    <xf numFmtId="0" fontId="11" fillId="2" borderId="0" xfId="0" applyFont="1" applyFill="1"/>
    <xf numFmtId="0" fontId="11" fillId="2" borderId="5" xfId="0" applyFont="1" applyFill="1" applyBorder="1"/>
    <xf numFmtId="165" fontId="10" fillId="3" borderId="0" xfId="1" applyNumberFormat="1" applyFont="1" applyFill="1" applyBorder="1"/>
    <xf numFmtId="165" fontId="11" fillId="3" borderId="0" xfId="1" applyNumberFormat="1" applyFont="1" applyFill="1" applyBorder="1"/>
    <xf numFmtId="165" fontId="11" fillId="3" borderId="5" xfId="1" applyNumberFormat="1" applyFont="1" applyFill="1" applyBorder="1"/>
    <xf numFmtId="165" fontId="11" fillId="3" borderId="0" xfId="0" applyNumberFormat="1" applyFont="1" applyFill="1"/>
    <xf numFmtId="165" fontId="11" fillId="3" borderId="5" xfId="0" applyNumberFormat="1" applyFont="1" applyFill="1" applyBorder="1"/>
    <xf numFmtId="0" fontId="11" fillId="2" borderId="6" xfId="0" applyFont="1" applyFill="1" applyBorder="1"/>
    <xf numFmtId="165" fontId="10" fillId="3" borderId="1" xfId="1" applyNumberFormat="1" applyFont="1" applyFill="1" applyBorder="1"/>
    <xf numFmtId="165" fontId="11" fillId="3" borderId="1" xfId="1" applyNumberFormat="1" applyFont="1" applyFill="1" applyBorder="1"/>
    <xf numFmtId="0" fontId="10" fillId="2" borderId="6" xfId="0" applyFont="1" applyFill="1" applyBorder="1"/>
    <xf numFmtId="165" fontId="12" fillId="3" borderId="1" xfId="1" applyNumberFormat="1" applyFont="1" applyFill="1" applyBorder="1"/>
    <xf numFmtId="165" fontId="12" fillId="3" borderId="7" xfId="1" applyNumberFormat="1" applyFont="1" applyFill="1" applyBorder="1"/>
    <xf numFmtId="0" fontId="2" fillId="0" borderId="0" xfId="0" applyFont="1"/>
    <xf numFmtId="0" fontId="6" fillId="2" borderId="0" xfId="0" applyFont="1" applyFill="1"/>
    <xf numFmtId="0" fontId="6" fillId="2" borderId="0" xfId="0" applyFont="1" applyFill="1" applyAlignment="1">
      <alignment horizontal="center"/>
    </xf>
    <xf numFmtId="0" fontId="7" fillId="2" borderId="0" xfId="0" applyFont="1" applyFill="1"/>
    <xf numFmtId="0" fontId="8" fillId="2" borderId="0" xfId="0" applyFont="1" applyFill="1"/>
    <xf numFmtId="0" fontId="7" fillId="2" borderId="0" xfId="0" applyFont="1" applyFill="1" applyAlignment="1">
      <alignment horizontal="center"/>
    </xf>
    <xf numFmtId="0" fontId="7" fillId="2" borderId="0" xfId="0" applyFont="1" applyFill="1" applyAlignment="1">
      <alignment horizontal="right"/>
    </xf>
    <xf numFmtId="0" fontId="7" fillId="2" borderId="4" xfId="0" applyFont="1" applyFill="1" applyBorder="1" applyAlignment="1">
      <alignment horizontal="center"/>
    </xf>
    <xf numFmtId="0" fontId="9" fillId="2" borderId="0" xfId="0" applyFont="1" applyFill="1"/>
    <xf numFmtId="0" fontId="7" fillId="2" borderId="5" xfId="0" applyFont="1" applyFill="1" applyBorder="1" applyAlignment="1">
      <alignment horizontal="center"/>
    </xf>
    <xf numFmtId="0" fontId="6" fillId="3" borderId="0" xfId="0" applyFont="1" applyFill="1"/>
    <xf numFmtId="0" fontId="7" fillId="3" borderId="0" xfId="0" applyFont="1" applyFill="1"/>
    <xf numFmtId="165" fontId="7" fillId="3" borderId="4" xfId="0" applyNumberFormat="1" applyFont="1" applyFill="1" applyBorder="1"/>
    <xf numFmtId="0" fontId="7" fillId="3" borderId="5" xfId="0" applyFont="1" applyFill="1" applyBorder="1"/>
    <xf numFmtId="0" fontId="7" fillId="3" borderId="4" xfId="0" applyFont="1" applyFill="1" applyBorder="1"/>
    <xf numFmtId="43" fontId="7" fillId="3" borderId="0" xfId="0" applyNumberFormat="1" applyFont="1" applyFill="1"/>
    <xf numFmtId="165" fontId="6" fillId="3" borderId="0" xfId="1" applyNumberFormat="1" applyFont="1" applyFill="1"/>
    <xf numFmtId="166" fontId="7" fillId="3" borderId="0" xfId="3" applyNumberFormat="1" applyFont="1" applyFill="1"/>
    <xf numFmtId="165" fontId="7" fillId="3" borderId="4" xfId="1" applyNumberFormat="1" applyFont="1" applyFill="1" applyBorder="1"/>
    <xf numFmtId="0" fontId="13" fillId="3" borderId="0" xfId="4" applyFont="1" applyFill="1"/>
    <xf numFmtId="0" fontId="13" fillId="3" borderId="0" xfId="4" applyFont="1" applyFill="1" applyAlignment="1"/>
    <xf numFmtId="168" fontId="7" fillId="3" borderId="5" xfId="1" applyNumberFormat="1" applyFont="1" applyFill="1" applyBorder="1"/>
    <xf numFmtId="43" fontId="7" fillId="3" borderId="1" xfId="0" applyNumberFormat="1" applyFont="1" applyFill="1" applyBorder="1"/>
    <xf numFmtId="166" fontId="7" fillId="3" borderId="7" xfId="3" applyNumberFormat="1" applyFont="1" applyFill="1" applyBorder="1"/>
    <xf numFmtId="165" fontId="7" fillId="3" borderId="6" xfId="1" applyNumberFormat="1" applyFont="1" applyFill="1" applyBorder="1"/>
    <xf numFmtId="167" fontId="7" fillId="3" borderId="7" xfId="1" applyNumberFormat="1" applyFont="1" applyFill="1" applyBorder="1"/>
    <xf numFmtId="43" fontId="6" fillId="3" borderId="0" xfId="0" applyNumberFormat="1" applyFont="1" applyFill="1"/>
    <xf numFmtId="166" fontId="6" fillId="3" borderId="0" xfId="3" applyNumberFormat="1" applyFont="1" applyFill="1"/>
    <xf numFmtId="165" fontId="6" fillId="3" borderId="4" xfId="1" applyNumberFormat="1" applyFont="1" applyFill="1" applyBorder="1"/>
    <xf numFmtId="165" fontId="7" fillId="3" borderId="0" xfId="1" applyNumberFormat="1" applyFont="1" applyFill="1"/>
    <xf numFmtId="44" fontId="6" fillId="3" borderId="3" xfId="2" applyFont="1" applyFill="1" applyBorder="1"/>
    <xf numFmtId="167" fontId="6" fillId="3" borderId="3" xfId="0" applyNumberFormat="1" applyFont="1" applyFill="1" applyBorder="1"/>
    <xf numFmtId="165" fontId="6" fillId="3" borderId="3" xfId="1" applyNumberFormat="1" applyFont="1" applyFill="1" applyBorder="1"/>
    <xf numFmtId="166" fontId="6" fillId="3" borderId="3" xfId="3" applyNumberFormat="1" applyFont="1" applyFill="1" applyBorder="1"/>
    <xf numFmtId="43" fontId="6" fillId="3" borderId="3" xfId="0" applyNumberFormat="1" applyFont="1" applyFill="1" applyBorder="1"/>
    <xf numFmtId="166" fontId="7" fillId="3" borderId="1" xfId="3" applyNumberFormat="1" applyFont="1" applyFill="1" applyBorder="1"/>
    <xf numFmtId="44" fontId="6" fillId="3" borderId="2" xfId="2" applyFont="1" applyFill="1" applyBorder="1"/>
    <xf numFmtId="167" fontId="6" fillId="3" borderId="2" xfId="0" applyNumberFormat="1" applyFont="1" applyFill="1" applyBorder="1"/>
    <xf numFmtId="165" fontId="6" fillId="3" borderId="12" xfId="1" applyNumberFormat="1" applyFont="1" applyFill="1" applyBorder="1"/>
    <xf numFmtId="166" fontId="6" fillId="3" borderId="2" xfId="3" applyNumberFormat="1" applyFont="1" applyFill="1" applyBorder="1"/>
    <xf numFmtId="165" fontId="6" fillId="3" borderId="11" xfId="1" applyNumberFormat="1" applyFont="1" applyFill="1" applyBorder="1"/>
    <xf numFmtId="167" fontId="6" fillId="3" borderId="12" xfId="1" applyNumberFormat="1" applyFont="1" applyFill="1" applyBorder="1"/>
    <xf numFmtId="44" fontId="7" fillId="3" borderId="0" xfId="2" applyFont="1" applyFill="1" applyBorder="1"/>
    <xf numFmtId="165" fontId="6" fillId="3" borderId="10" xfId="1" applyNumberFormat="1" applyFont="1" applyFill="1" applyBorder="1"/>
    <xf numFmtId="166" fontId="7" fillId="3" borderId="0" xfId="3" applyNumberFormat="1" applyFont="1" applyFill="1" applyBorder="1"/>
    <xf numFmtId="165" fontId="7" fillId="3" borderId="18" xfId="1" applyNumberFormat="1" applyFont="1" applyFill="1" applyBorder="1"/>
    <xf numFmtId="167" fontId="7" fillId="3" borderId="10" xfId="1" applyNumberFormat="1" applyFont="1" applyFill="1" applyBorder="1"/>
    <xf numFmtId="44" fontId="7" fillId="3" borderId="1" xfId="2" applyFont="1" applyFill="1" applyBorder="1"/>
    <xf numFmtId="167" fontId="7" fillId="3" borderId="19" xfId="1" applyNumberFormat="1" applyFont="1" applyFill="1" applyBorder="1"/>
    <xf numFmtId="166" fontId="7" fillId="3" borderId="6" xfId="3" applyNumberFormat="1" applyFont="1" applyFill="1" applyBorder="1"/>
    <xf numFmtId="167" fontId="7" fillId="3" borderId="1" xfId="1" applyNumberFormat="1" applyFont="1" applyFill="1" applyBorder="1"/>
    <xf numFmtId="0" fontId="7" fillId="0" borderId="0" xfId="0" applyFont="1"/>
    <xf numFmtId="43" fontId="6" fillId="3" borderId="0" xfId="1" applyFont="1" applyFill="1" applyBorder="1"/>
    <xf numFmtId="164" fontId="6" fillId="3" borderId="0" xfId="1" applyNumberFormat="1" applyFont="1" applyFill="1" applyBorder="1"/>
    <xf numFmtId="43" fontId="7" fillId="2" borderId="0" xfId="0" applyNumberFormat="1" applyFont="1" applyFill="1"/>
    <xf numFmtId="169" fontId="7" fillId="2" borderId="0" xfId="0" applyNumberFormat="1" applyFont="1" applyFill="1"/>
    <xf numFmtId="49" fontId="7" fillId="3" borderId="0" xfId="1" applyNumberFormat="1" applyFont="1" applyFill="1"/>
    <xf numFmtId="43" fontId="7" fillId="0" borderId="0" xfId="0" applyNumberFormat="1" applyFont="1"/>
    <xf numFmtId="49" fontId="7" fillId="3" borderId="0" xfId="1" applyNumberFormat="1" applyFont="1" applyFill="1" applyAlignment="1"/>
    <xf numFmtId="49" fontId="7" fillId="3" borderId="0" xfId="1" applyNumberFormat="1" applyFont="1" applyFill="1" applyAlignment="1">
      <alignment vertical="top"/>
    </xf>
    <xf numFmtId="167" fontId="7" fillId="3" borderId="0" xfId="0" applyNumberFormat="1" applyFont="1" applyFill="1"/>
    <xf numFmtId="165" fontId="7" fillId="2" borderId="0" xfId="0" applyNumberFormat="1" applyFont="1" applyFill="1"/>
    <xf numFmtId="0" fontId="11" fillId="3" borderId="0" xfId="0" applyFont="1" applyFill="1"/>
    <xf numFmtId="49" fontId="10" fillId="2" borderId="8" xfId="0" applyNumberFormat="1" applyFont="1" applyFill="1" applyBorder="1" applyAlignment="1">
      <alignment horizontal="left"/>
    </xf>
    <xf numFmtId="49" fontId="10" fillId="2" borderId="9" xfId="0" applyNumberFormat="1" applyFont="1" applyFill="1" applyBorder="1" applyAlignment="1">
      <alignment horizontal="left"/>
    </xf>
    <xf numFmtId="0" fontId="14" fillId="2" borderId="9" xfId="4" applyFont="1" applyFill="1" applyBorder="1"/>
    <xf numFmtId="0" fontId="11" fillId="2" borderId="9" xfId="0" applyFont="1" applyFill="1" applyBorder="1"/>
    <xf numFmtId="0" fontId="11" fillId="2" borderId="10" xfId="0" applyFont="1" applyFill="1" applyBorder="1"/>
    <xf numFmtId="0" fontId="11" fillId="2" borderId="1" xfId="0" applyFont="1" applyFill="1" applyBorder="1"/>
    <xf numFmtId="0" fontId="11" fillId="2" borderId="7" xfId="0" applyFont="1" applyFill="1" applyBorder="1"/>
    <xf numFmtId="0" fontId="10" fillId="2" borderId="0" xfId="0" applyFont="1" applyFill="1"/>
    <xf numFmtId="0" fontId="10" fillId="2" borderId="0" xfId="0" applyFont="1" applyFill="1" applyAlignment="1">
      <alignment horizontal="center"/>
    </xf>
    <xf numFmtId="0" fontId="15" fillId="2" borderId="0" xfId="0" applyFont="1" applyFill="1"/>
    <xf numFmtId="0" fontId="11" fillId="2" borderId="0" xfId="0" applyFont="1" applyFill="1" applyAlignment="1">
      <alignment horizontal="center"/>
    </xf>
    <xf numFmtId="165" fontId="11" fillId="3" borderId="0" xfId="1" applyNumberFormat="1" applyFont="1" applyFill="1"/>
    <xf numFmtId="165" fontId="10" fillId="3" borderId="0" xfId="1" applyNumberFormat="1" applyFont="1" applyFill="1"/>
    <xf numFmtId="166" fontId="11" fillId="3" borderId="0" xfId="3" applyNumberFormat="1" applyFont="1" applyFill="1"/>
    <xf numFmtId="165" fontId="10" fillId="3" borderId="3" xfId="1" applyNumberFormat="1" applyFont="1" applyFill="1" applyBorder="1"/>
    <xf numFmtId="164" fontId="10" fillId="3" borderId="0" xfId="1" applyNumberFormat="1" applyFont="1" applyFill="1"/>
    <xf numFmtId="167" fontId="11" fillId="3" borderId="0" xfId="1" applyNumberFormat="1" applyFont="1" applyFill="1"/>
    <xf numFmtId="44" fontId="11" fillId="3" borderId="0" xfId="2" applyFont="1" applyFill="1"/>
    <xf numFmtId="0" fontId="4" fillId="2" borderId="0" xfId="0" applyFont="1" applyFill="1" applyAlignment="1">
      <alignment horizontal="center"/>
    </xf>
    <xf numFmtId="0" fontId="5" fillId="2" borderId="0" xfId="0" applyFont="1" applyFill="1"/>
    <xf numFmtId="0" fontId="5" fillId="0" borderId="0" xfId="0" applyFont="1"/>
    <xf numFmtId="0" fontId="10" fillId="3" borderId="0" xfId="0" applyFont="1" applyFill="1"/>
    <xf numFmtId="0" fontId="5" fillId="3" borderId="0" xfId="0" applyFont="1" applyFill="1"/>
    <xf numFmtId="43" fontId="11" fillId="3" borderId="0" xfId="0" applyNumberFormat="1" applyFont="1" applyFill="1"/>
    <xf numFmtId="49" fontId="11" fillId="3" borderId="0" xfId="1" applyNumberFormat="1" applyFont="1" applyFill="1"/>
    <xf numFmtId="49" fontId="16" fillId="3" borderId="0" xfId="4" applyNumberFormat="1" applyFont="1" applyFill="1" applyAlignment="1"/>
    <xf numFmtId="0" fontId="16" fillId="3" borderId="0" xfId="4" applyFont="1" applyFill="1" applyAlignment="1">
      <alignment horizontal="left"/>
    </xf>
    <xf numFmtId="0" fontId="16" fillId="3" borderId="0" xfId="4" applyFont="1" applyFill="1"/>
    <xf numFmtId="43" fontId="11" fillId="3" borderId="1" xfId="0" applyNumberFormat="1" applyFont="1" applyFill="1" applyBorder="1"/>
    <xf numFmtId="43" fontId="10" fillId="3" borderId="0" xfId="0" applyNumberFormat="1" applyFont="1" applyFill="1"/>
    <xf numFmtId="164" fontId="11" fillId="3" borderId="0" xfId="1" applyNumberFormat="1" applyFont="1" applyFill="1"/>
    <xf numFmtId="0" fontId="11" fillId="0" borderId="0" xfId="0" applyFont="1"/>
    <xf numFmtId="43" fontId="11" fillId="0" borderId="0" xfId="0" applyNumberFormat="1" applyFont="1"/>
    <xf numFmtId="49" fontId="11" fillId="3" borderId="0" xfId="1" applyNumberFormat="1" applyFont="1" applyFill="1" applyAlignment="1"/>
    <xf numFmtId="0" fontId="14" fillId="3" borderId="0" xfId="4" applyFont="1" applyFill="1"/>
    <xf numFmtId="49" fontId="11" fillId="3" borderId="0" xfId="1" applyNumberFormat="1" applyFont="1" applyFill="1" applyAlignment="1">
      <alignment vertical="top"/>
    </xf>
    <xf numFmtId="167" fontId="11" fillId="3" borderId="0" xfId="0" applyNumberFormat="1" applyFont="1" applyFill="1"/>
    <xf numFmtId="166" fontId="10" fillId="3" borderId="0" xfId="3" applyNumberFormat="1" applyFont="1" applyFill="1" applyBorder="1"/>
    <xf numFmtId="167" fontId="11" fillId="3" borderId="0" xfId="0" applyNumberFormat="1" applyFont="1" applyFill="1" applyAlignment="1">
      <alignment horizontal="center" vertical="center"/>
    </xf>
    <xf numFmtId="167" fontId="10" fillId="3" borderId="0" xfId="1" applyNumberFormat="1" applyFont="1" applyFill="1"/>
    <xf numFmtId="44" fontId="10" fillId="3" borderId="0" xfId="2" applyFont="1" applyFill="1"/>
    <xf numFmtId="165" fontId="11" fillId="2" borderId="0" xfId="0" applyNumberFormat="1" applyFont="1" applyFill="1"/>
    <xf numFmtId="43" fontId="10" fillId="3" borderId="0" xfId="1" applyFont="1" applyFill="1"/>
    <xf numFmtId="165" fontId="7" fillId="2" borderId="0" xfId="1" applyNumberFormat="1" applyFont="1" applyFill="1"/>
    <xf numFmtId="165" fontId="5" fillId="0" borderId="0" xfId="1" applyNumberFormat="1" applyFont="1"/>
    <xf numFmtId="165" fontId="5" fillId="0" borderId="0" xfId="0" applyNumberFormat="1" applyFont="1"/>
    <xf numFmtId="0" fontId="21" fillId="5" borderId="14" xfId="0" applyFont="1" applyFill="1" applyBorder="1"/>
    <xf numFmtId="0" fontId="21" fillId="5" borderId="0" xfId="0" applyFont="1" applyFill="1"/>
    <xf numFmtId="0" fontId="20" fillId="5" borderId="0" xfId="0" applyFont="1" applyFill="1"/>
    <xf numFmtId="0" fontId="20" fillId="5" borderId="0" xfId="0" applyFont="1" applyFill="1" applyAlignment="1">
      <alignment horizontal="center"/>
    </xf>
    <xf numFmtId="10" fontId="22" fillId="5" borderId="0" xfId="3" applyNumberFormat="1" applyFont="1" applyFill="1" applyBorder="1"/>
    <xf numFmtId="0" fontId="20" fillId="5" borderId="15" xfId="0" applyFont="1" applyFill="1" applyBorder="1"/>
    <xf numFmtId="0" fontId="21" fillId="5" borderId="8" xfId="0" applyFont="1" applyFill="1" applyBorder="1"/>
    <xf numFmtId="0" fontId="21" fillId="5" borderId="9" xfId="0" applyFont="1" applyFill="1" applyBorder="1"/>
    <xf numFmtId="0" fontId="20" fillId="5" borderId="9" xfId="0" applyFont="1" applyFill="1" applyBorder="1" applyAlignment="1">
      <alignment horizontal="center"/>
    </xf>
    <xf numFmtId="10" fontId="22" fillId="5" borderId="9" xfId="3" applyNumberFormat="1" applyFont="1" applyFill="1" applyBorder="1"/>
    <xf numFmtId="0" fontId="20" fillId="5" borderId="10" xfId="0" applyFont="1" applyFill="1" applyBorder="1"/>
    <xf numFmtId="0" fontId="19" fillId="5" borderId="4" xfId="0" applyFont="1" applyFill="1" applyBorder="1" applyAlignment="1">
      <alignment horizontal="right"/>
    </xf>
    <xf numFmtId="0" fontId="19" fillId="5" borderId="0" xfId="0" applyFont="1" applyFill="1" applyAlignment="1">
      <alignment horizontal="right"/>
    </xf>
    <xf numFmtId="0" fontId="20" fillId="5" borderId="5" xfId="0" applyFont="1" applyFill="1" applyBorder="1"/>
    <xf numFmtId="0" fontId="19" fillId="5" borderId="6" xfId="0" applyFont="1" applyFill="1" applyBorder="1" applyAlignment="1">
      <alignment horizontal="right"/>
    </xf>
    <xf numFmtId="0" fontId="19" fillId="5" borderId="1" xfId="0" applyFont="1" applyFill="1" applyBorder="1" applyAlignment="1">
      <alignment horizontal="right"/>
    </xf>
    <xf numFmtId="10" fontId="20" fillId="5" borderId="1" xfId="3" applyNumberFormat="1" applyFont="1" applyFill="1" applyBorder="1" applyAlignment="1">
      <alignment horizontal="center"/>
    </xf>
    <xf numFmtId="10" fontId="22" fillId="5" borderId="1" xfId="3" applyNumberFormat="1" applyFont="1" applyFill="1" applyBorder="1"/>
    <xf numFmtId="0" fontId="20" fillId="5" borderId="7" xfId="0" applyFont="1" applyFill="1" applyBorder="1"/>
    <xf numFmtId="0" fontId="23" fillId="5" borderId="13" xfId="0" applyFont="1" applyFill="1" applyBorder="1"/>
    <xf numFmtId="0" fontId="23" fillId="5" borderId="16" xfId="0" applyFont="1" applyFill="1" applyBorder="1"/>
    <xf numFmtId="0" fontId="24" fillId="5" borderId="16" xfId="0" applyFont="1" applyFill="1" applyBorder="1" applyAlignment="1">
      <alignment horizontal="center"/>
    </xf>
    <xf numFmtId="166" fontId="24" fillId="5" borderId="16" xfId="3" applyNumberFormat="1" applyFont="1" applyFill="1" applyBorder="1" applyAlignment="1">
      <alignment horizontal="center"/>
    </xf>
    <xf numFmtId="0" fontId="24" fillId="5" borderId="16" xfId="0" applyFont="1" applyFill="1" applyBorder="1"/>
    <xf numFmtId="0" fontId="24" fillId="4" borderId="17" xfId="0" applyFont="1" applyFill="1" applyBorder="1" applyAlignment="1">
      <alignment horizontal="center"/>
    </xf>
    <xf numFmtId="0" fontId="24" fillId="5" borderId="0" xfId="0" applyFont="1" applyFill="1" applyAlignment="1">
      <alignment horizontal="center"/>
    </xf>
    <xf numFmtId="0" fontId="23" fillId="5" borderId="14" xfId="0" applyFont="1" applyFill="1" applyBorder="1"/>
    <xf numFmtId="0" fontId="23" fillId="5" borderId="0" xfId="0" applyFont="1" applyFill="1"/>
    <xf numFmtId="166" fontId="24" fillId="5" borderId="0" xfId="3" applyNumberFormat="1" applyFont="1" applyFill="1" applyBorder="1" applyAlignment="1">
      <alignment horizontal="center"/>
    </xf>
    <xf numFmtId="0" fontId="24" fillId="5" borderId="0" xfId="0" applyFont="1" applyFill="1"/>
    <xf numFmtId="0" fontId="24" fillId="4" borderId="15" xfId="0" applyFont="1" applyFill="1" applyBorder="1" applyAlignment="1">
      <alignment horizontal="center"/>
    </xf>
    <xf numFmtId="0" fontId="24" fillId="5" borderId="14" xfId="0" applyFont="1" applyFill="1" applyBorder="1"/>
    <xf numFmtId="165" fontId="17" fillId="6" borderId="20" xfId="1" applyNumberFormat="1" applyFont="1" applyFill="1" applyBorder="1"/>
    <xf numFmtId="165" fontId="17" fillId="6" borderId="23" xfId="1" applyNumberFormat="1" applyFont="1" applyFill="1" applyBorder="1"/>
    <xf numFmtId="165" fontId="18" fillId="4" borderId="21" xfId="1" applyNumberFormat="1" applyFont="1" applyFill="1" applyBorder="1"/>
    <xf numFmtId="165" fontId="17" fillId="6" borderId="0" xfId="1" applyNumberFormat="1" applyFont="1" applyFill="1" applyBorder="1"/>
    <xf numFmtId="0" fontId="23" fillId="5" borderId="0" xfId="0" applyFont="1" applyFill="1" applyAlignment="1">
      <alignment vertical="center"/>
    </xf>
    <xf numFmtId="43" fontId="18" fillId="5" borderId="0" xfId="1" applyFont="1" applyFill="1" applyBorder="1"/>
    <xf numFmtId="43" fontId="18" fillId="4" borderId="15" xfId="1" applyFont="1" applyFill="1" applyBorder="1"/>
    <xf numFmtId="167" fontId="18" fillId="6" borderId="0" xfId="1" applyNumberFormat="1" applyFont="1" applyFill="1" applyBorder="1"/>
    <xf numFmtId="165" fontId="17" fillId="6" borderId="22" xfId="1" applyNumberFormat="1" applyFont="1" applyFill="1" applyBorder="1"/>
    <xf numFmtId="167" fontId="10" fillId="3" borderId="0" xfId="2" applyNumberFormat="1" applyFont="1" applyFill="1"/>
    <xf numFmtId="0" fontId="25" fillId="5" borderId="0" xfId="0" applyFont="1" applyFill="1" applyAlignment="1">
      <alignment horizontal="center"/>
    </xf>
    <xf numFmtId="166" fontId="25" fillId="5" borderId="1" xfId="3" applyNumberFormat="1" applyFont="1" applyFill="1" applyBorder="1" applyAlignment="1">
      <alignment horizontal="center"/>
    </xf>
    <xf numFmtId="167" fontId="25" fillId="5" borderId="1" xfId="3" applyNumberFormat="1" applyFont="1" applyFill="1" applyBorder="1" applyAlignment="1">
      <alignment horizontal="center"/>
    </xf>
    <xf numFmtId="44" fontId="10" fillId="3" borderId="3" xfId="2" applyFont="1" applyFill="1" applyBorder="1"/>
    <xf numFmtId="167" fontId="10" fillId="3" borderId="3" xfId="1" applyNumberFormat="1" applyFont="1" applyFill="1" applyBorder="1"/>
    <xf numFmtId="170" fontId="10" fillId="3" borderId="1" xfId="1" applyNumberFormat="1" applyFont="1" applyFill="1" applyBorder="1"/>
    <xf numFmtId="165" fontId="5" fillId="2" borderId="0" xfId="0" applyNumberFormat="1" applyFont="1" applyFill="1"/>
    <xf numFmtId="165" fontId="5" fillId="2" borderId="0" xfId="1" applyNumberFormat="1" applyFont="1" applyFill="1"/>
    <xf numFmtId="0" fontId="26" fillId="3" borderId="0" xfId="4" applyFont="1" applyFill="1" applyAlignment="1"/>
    <xf numFmtId="0" fontId="24" fillId="5" borderId="16" xfId="0" applyFont="1" applyFill="1" applyBorder="1" applyAlignment="1">
      <alignment horizontal="center"/>
    </xf>
    <xf numFmtId="0" fontId="22" fillId="5" borderId="14" xfId="0" applyFont="1" applyFill="1" applyBorder="1" applyAlignment="1">
      <alignment horizontal="center"/>
    </xf>
    <xf numFmtId="0" fontId="22" fillId="5" borderId="0" xfId="0" applyFont="1" applyFill="1" applyAlignment="1">
      <alignment horizontal="center"/>
    </xf>
    <xf numFmtId="0" fontId="6" fillId="2" borderId="8" xfId="0" applyFont="1" applyFill="1" applyBorder="1" applyAlignment="1">
      <alignment horizontal="center"/>
    </xf>
    <xf numFmtId="0" fontId="6" fillId="2" borderId="10" xfId="0" applyFont="1" applyFill="1" applyBorder="1" applyAlignment="1">
      <alignment horizontal="center"/>
    </xf>
    <xf numFmtId="0" fontId="7" fillId="2" borderId="4" xfId="0" applyFont="1" applyFill="1" applyBorder="1" applyAlignment="1">
      <alignment horizontal="center"/>
    </xf>
    <xf numFmtId="0" fontId="7" fillId="2" borderId="0" xfId="0" applyFont="1" applyFill="1" applyAlignment="1">
      <alignment horizontal="center"/>
    </xf>
    <xf numFmtId="0" fontId="6" fillId="2" borderId="9" xfId="0" applyFont="1" applyFill="1" applyBorder="1" applyAlignment="1">
      <alignment horizontal="center"/>
    </xf>
    <xf numFmtId="0" fontId="10" fillId="2" borderId="9" xfId="0" applyFont="1" applyFill="1" applyBorder="1" applyAlignment="1">
      <alignment horizontal="center"/>
    </xf>
    <xf numFmtId="0" fontId="10" fillId="2" borderId="0" xfId="0" applyFont="1" applyFill="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olarpowereurope.org/insights/outlooks/eu-market-outlook-for-solar-power-2024-2028/detai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olarinsure.com/for-solar-developers-how-solar-property-insurance-is-priced" TargetMode="External"/><Relationship Id="rId2" Type="http://schemas.openxmlformats.org/officeDocument/2006/relationships/hyperlink" Target="https://atb.nrel.gov/electricity/2024/utility-scale_pv-plus-battery" TargetMode="External"/><Relationship Id="rId1" Type="http://schemas.openxmlformats.org/officeDocument/2006/relationships/hyperlink" Target="https://www.pnnl.gov/sites/default/files/media/file/Final%20-%20ESGC%20Cost%20Performance%20Report%2012-11-2020.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solarinsure.com/for-solar-developers-how-solar-property-insurance-is-priced" TargetMode="External"/><Relationship Id="rId1" Type="http://schemas.openxmlformats.org/officeDocument/2006/relationships/hyperlink" Target="https://www.pnnl.gov/sites/default/files/media/file/Final%20-%20ESGC%20Cost%20Performance%20Report%2012-11-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7B8B-466A-47B2-B3B1-C0126A93B058}">
  <dimension ref="A1:M13"/>
  <sheetViews>
    <sheetView workbookViewId="0">
      <selection activeCell="C9" sqref="C9:M13"/>
    </sheetView>
  </sheetViews>
  <sheetFormatPr defaultRowHeight="15"/>
  <cols>
    <col min="1" max="1" width="27.85546875" customWidth="1"/>
    <col min="2" max="6" width="12" bestFit="1" customWidth="1"/>
    <col min="7" max="8" width="11" bestFit="1" customWidth="1"/>
    <col min="9" max="9" width="13.140625" customWidth="1"/>
    <col min="10" max="10" width="10.42578125" bestFit="1" customWidth="1"/>
    <col min="11" max="11" width="11.7109375" bestFit="1" customWidth="1"/>
    <col min="12" max="13" width="10.42578125" bestFit="1" customWidth="1"/>
  </cols>
  <sheetData>
    <row r="1" spans="1:13">
      <c r="A1" s="139"/>
      <c r="B1" s="140"/>
      <c r="C1" s="142"/>
      <c r="D1" s="142"/>
      <c r="E1" s="142"/>
      <c r="F1" s="142"/>
      <c r="G1" s="142"/>
      <c r="H1" s="143"/>
      <c r="I1" s="141"/>
      <c r="J1" s="141"/>
      <c r="K1" s="144"/>
      <c r="L1" s="141"/>
      <c r="M1" s="141"/>
    </row>
    <row r="2" spans="1:13">
      <c r="A2" s="145" t="s">
        <v>0</v>
      </c>
      <c r="B2" s="146"/>
      <c r="C2" s="147"/>
      <c r="D2" s="147"/>
      <c r="E2" s="147"/>
      <c r="F2" s="147"/>
      <c r="G2" s="147"/>
      <c r="H2" s="148"/>
      <c r="I2" s="149"/>
      <c r="J2" s="141"/>
      <c r="K2" s="144"/>
      <c r="L2" s="141"/>
      <c r="M2" s="141"/>
    </row>
    <row r="3" spans="1:13">
      <c r="A3" s="150" t="s">
        <v>1</v>
      </c>
      <c r="B3" s="151"/>
      <c r="C3" s="142">
        <v>25</v>
      </c>
      <c r="D3" s="181" t="s">
        <v>2</v>
      </c>
      <c r="E3" s="181" t="s">
        <v>3</v>
      </c>
      <c r="F3" s="181"/>
      <c r="G3" s="181"/>
      <c r="H3" s="143"/>
      <c r="I3" s="152"/>
      <c r="J3" s="141"/>
      <c r="K3" s="144"/>
      <c r="L3" s="141"/>
      <c r="M3" s="141"/>
    </row>
    <row r="4" spans="1:13">
      <c r="A4" s="153" t="s">
        <v>4</v>
      </c>
      <c r="B4" s="154"/>
      <c r="C4" s="155">
        <v>7.0000000000000007E-2</v>
      </c>
      <c r="D4" s="182"/>
      <c r="E4" s="183">
        <f>K13</f>
        <v>148.49570312336795</v>
      </c>
      <c r="F4" s="183"/>
      <c r="G4" s="183"/>
      <c r="H4" s="156"/>
      <c r="I4" s="157"/>
      <c r="J4" s="141"/>
      <c r="K4" s="144"/>
      <c r="L4" s="141"/>
      <c r="M4" s="141"/>
    </row>
    <row r="5" spans="1:13" ht="15.75" thickBot="1">
      <c r="A5" s="139"/>
      <c r="B5" s="140"/>
      <c r="C5" s="142"/>
      <c r="D5" s="142"/>
      <c r="E5" s="142"/>
      <c r="F5" s="142"/>
      <c r="G5" s="142"/>
      <c r="H5" s="143"/>
      <c r="I5" s="141"/>
      <c r="J5" s="141"/>
      <c r="K5" s="144"/>
      <c r="L5" s="191" t="s">
        <v>5</v>
      </c>
      <c r="M5" s="192"/>
    </row>
    <row r="6" spans="1:13">
      <c r="A6" s="158"/>
      <c r="B6" s="159"/>
      <c r="C6" s="190" t="s">
        <v>6</v>
      </c>
      <c r="D6" s="190"/>
      <c r="E6" s="190"/>
      <c r="F6" s="160" t="s">
        <v>7</v>
      </c>
      <c r="G6" s="160" t="s">
        <v>8</v>
      </c>
      <c r="H6" s="161" t="s">
        <v>9</v>
      </c>
      <c r="I6" s="162" t="s">
        <v>10</v>
      </c>
      <c r="J6" s="161" t="s">
        <v>11</v>
      </c>
      <c r="K6" s="163" t="s">
        <v>12</v>
      </c>
      <c r="L6" s="164" t="s">
        <v>13</v>
      </c>
      <c r="M6" s="164" t="s">
        <v>14</v>
      </c>
    </row>
    <row r="7" spans="1:13">
      <c r="A7" s="165"/>
      <c r="B7" s="166"/>
      <c r="C7" s="164" t="s">
        <v>15</v>
      </c>
      <c r="D7" s="164" t="s">
        <v>16</v>
      </c>
      <c r="E7" s="164" t="s">
        <v>17</v>
      </c>
      <c r="F7" s="164"/>
      <c r="G7" s="164"/>
      <c r="H7" s="167"/>
      <c r="I7" s="168"/>
      <c r="J7" s="168"/>
      <c r="K7" s="169"/>
      <c r="L7" s="164"/>
      <c r="M7" s="164"/>
    </row>
    <row r="8" spans="1:13">
      <c r="A8" s="170" t="s">
        <v>18</v>
      </c>
      <c r="B8" s="168"/>
      <c r="C8" s="178"/>
      <c r="D8" s="178"/>
      <c r="E8" s="178"/>
      <c r="F8" s="178"/>
      <c r="G8" s="178"/>
      <c r="H8" s="178"/>
      <c r="I8" s="178"/>
      <c r="J8" s="178"/>
      <c r="K8" s="178"/>
      <c r="L8" s="178"/>
      <c r="M8" s="178"/>
    </row>
    <row r="9" spans="1:13">
      <c r="A9" s="165" t="s">
        <v>19</v>
      </c>
      <c r="B9" s="175" t="s">
        <v>20</v>
      </c>
      <c r="C9" s="172">
        <v>17580839.202512335</v>
      </c>
      <c r="D9" s="174">
        <v>15998769.796249034</v>
      </c>
      <c r="E9" s="174">
        <v>33579608.998761371</v>
      </c>
      <c r="F9" s="179">
        <v>18379506.389740519</v>
      </c>
      <c r="G9" s="171">
        <v>16179164.780083779</v>
      </c>
      <c r="H9" s="171">
        <v>14987369.84495919</v>
      </c>
      <c r="I9" s="171">
        <v>8304235.0115048923</v>
      </c>
      <c r="J9" s="172">
        <v>4690391.8535626363</v>
      </c>
      <c r="K9" s="173">
        <v>96120276.878612384</v>
      </c>
      <c r="L9" s="174">
        <v>51959115.38850189</v>
      </c>
      <c r="M9" s="174">
        <v>39470769.636547863</v>
      </c>
    </row>
    <row r="10" spans="1:13">
      <c r="A10" s="165" t="s">
        <v>21</v>
      </c>
      <c r="B10" s="175" t="s">
        <v>20</v>
      </c>
      <c r="C10" s="172">
        <v>9490715.0519981682</v>
      </c>
      <c r="D10" s="174">
        <v>8225280.3611563947</v>
      </c>
      <c r="E10" s="174">
        <v>17715995.413154565</v>
      </c>
      <c r="F10" s="179">
        <v>8679524.4582567904</v>
      </c>
      <c r="G10" s="171">
        <v>7003390.7124479134</v>
      </c>
      <c r="H10" s="171">
        <v>7165185.7048995066</v>
      </c>
      <c r="I10" s="171">
        <v>4065598.2485476094</v>
      </c>
      <c r="J10" s="172">
        <v>2581673.7045919388</v>
      </c>
      <c r="K10" s="173">
        <v>47211368.241898313</v>
      </c>
      <c r="L10" s="174">
        <v>26395519.871411353</v>
      </c>
      <c r="M10" s="174">
        <v>18234174.66589503</v>
      </c>
    </row>
    <row r="11" spans="1:13">
      <c r="A11" s="165" t="s">
        <v>22</v>
      </c>
      <c r="B11" s="175" t="s">
        <v>20</v>
      </c>
      <c r="C11" s="172">
        <v>2160104.8240676648</v>
      </c>
      <c r="D11" s="174">
        <v>2145839.0747224484</v>
      </c>
      <c r="E11" s="174">
        <v>4305943.8987901136</v>
      </c>
      <c r="F11" s="179">
        <v>3363300.4346405771</v>
      </c>
      <c r="G11" s="171">
        <v>2936440.2706421115</v>
      </c>
      <c r="H11" s="171">
        <v>2925472.5058334689</v>
      </c>
      <c r="I11" s="171">
        <v>2234875.5766087319</v>
      </c>
      <c r="J11" s="172">
        <v>1059284.5730090872</v>
      </c>
      <c r="K11" s="173">
        <v>16825317.259524092</v>
      </c>
      <c r="L11" s="174">
        <v>7669244.3334306907</v>
      </c>
      <c r="M11" s="174">
        <v>8096788.3530843128</v>
      </c>
    </row>
    <row r="12" spans="1:13">
      <c r="A12" s="165" t="s">
        <v>23</v>
      </c>
      <c r="B12" s="166" t="s">
        <v>24</v>
      </c>
      <c r="C12" s="172">
        <v>212903193.46787745</v>
      </c>
      <c r="D12" s="174">
        <v>196549877.50819173</v>
      </c>
      <c r="E12" s="174">
        <v>409453070.97606921</v>
      </c>
      <c r="F12" s="179">
        <v>221993137.79849136</v>
      </c>
      <c r="G12" s="171">
        <v>169621839.15678617</v>
      </c>
      <c r="H12" s="171">
        <v>158922193.95072699</v>
      </c>
      <c r="I12" s="171">
        <v>76190427.256046265</v>
      </c>
      <c r="J12" s="172">
        <v>42348601.483123846</v>
      </c>
      <c r="K12" s="173">
        <v>1078529270.621244</v>
      </c>
      <c r="L12" s="174">
        <v>631446208.77456057</v>
      </c>
      <c r="M12" s="174">
        <v>404734460.36355948</v>
      </c>
    </row>
    <row r="13" spans="1:13">
      <c r="A13" s="165" t="s">
        <v>25</v>
      </c>
      <c r="B13" s="175" t="s">
        <v>26</v>
      </c>
      <c r="C13" s="176">
        <v>137.30023773921738</v>
      </c>
      <c r="D13" s="176">
        <v>134.16385482625822</v>
      </c>
      <c r="E13" s="176">
        <v>135.79467893148546</v>
      </c>
      <c r="F13" s="176">
        <v>137.04176437315368</v>
      </c>
      <c r="G13" s="176">
        <v>153.98368448906686</v>
      </c>
      <c r="H13" s="176">
        <v>157.80066605088197</v>
      </c>
      <c r="I13" s="176">
        <v>191.68692659486621</v>
      </c>
      <c r="J13" s="176">
        <v>196.73259185391876</v>
      </c>
      <c r="K13" s="177">
        <v>148.49570312336795</v>
      </c>
      <c r="L13" s="176">
        <v>136.23310805886277</v>
      </c>
      <c r="M13" s="176">
        <v>162.58001010445145</v>
      </c>
    </row>
  </sheetData>
  <mergeCells count="2">
    <mergeCell ref="C6:E6"/>
    <mergeCell ref="L5:M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2D03-0D35-4603-9D10-6911229D524C}">
  <dimension ref="A1:AJ54"/>
  <sheetViews>
    <sheetView tabSelected="1" zoomScale="102" workbookViewId="0">
      <pane xSplit="1" ySplit="1" topLeftCell="B2" activePane="bottomRight" state="frozen"/>
      <selection pane="bottomRight" activeCell="C5" sqref="C5"/>
      <selection pane="bottomLeft" activeCell="A2" sqref="A2"/>
      <selection pane="topRight" activeCell="B1" sqref="B1"/>
    </sheetView>
  </sheetViews>
  <sheetFormatPr defaultRowHeight="15"/>
  <cols>
    <col min="1" max="1" width="45" style="1" bestFit="1" customWidth="1"/>
    <col min="2" max="2" width="6.5703125" bestFit="1" customWidth="1"/>
    <col min="3" max="3" width="7" bestFit="1" customWidth="1"/>
    <col min="4" max="4" width="12.7109375" customWidth="1"/>
    <col min="5" max="5" width="6.85546875" bestFit="1" customWidth="1"/>
    <col min="6" max="6" width="12.7109375" bestFit="1" customWidth="1"/>
    <col min="7" max="7" width="12.5703125" bestFit="1" customWidth="1"/>
    <col min="8" max="8" width="7" bestFit="1" customWidth="1"/>
    <col min="9" max="9" width="11" bestFit="1" customWidth="1"/>
    <col min="10" max="10" width="7" bestFit="1" customWidth="1"/>
    <col min="11" max="11" width="11" bestFit="1" customWidth="1"/>
    <col min="12" max="12" width="8" bestFit="1" customWidth="1"/>
    <col min="13" max="13" width="11" bestFit="1" customWidth="1"/>
    <col min="14" max="14" width="8" bestFit="1" customWidth="1"/>
    <col min="15" max="15" width="10.140625" bestFit="1" customWidth="1"/>
    <col min="16" max="16" width="8" bestFit="1" customWidth="1"/>
    <col min="17" max="17" width="10.140625" bestFit="1" customWidth="1"/>
    <col min="18" max="18" width="7" bestFit="1" customWidth="1"/>
    <col min="29" max="29" width="3.85546875" customWidth="1"/>
    <col min="31" max="31" width="10" customWidth="1"/>
  </cols>
  <sheetData>
    <row r="1" spans="1:36" s="1" customFormat="1">
      <c r="A1" s="31" t="s">
        <v>27</v>
      </c>
      <c r="B1" s="32"/>
      <c r="C1" s="32"/>
      <c r="D1" s="32" t="s">
        <v>28</v>
      </c>
      <c r="E1" s="32"/>
      <c r="F1" s="193" t="s">
        <v>6</v>
      </c>
      <c r="G1" s="197"/>
      <c r="H1" s="194"/>
      <c r="I1" s="193" t="s">
        <v>7</v>
      </c>
      <c r="J1" s="194"/>
      <c r="K1" s="193" t="s">
        <v>8</v>
      </c>
      <c r="L1" s="194"/>
      <c r="M1" s="193" t="s">
        <v>9</v>
      </c>
      <c r="N1" s="194"/>
      <c r="O1" s="193" t="s">
        <v>10</v>
      </c>
      <c r="P1" s="194"/>
      <c r="Q1" s="193" t="s">
        <v>29</v>
      </c>
      <c r="R1" s="194"/>
      <c r="S1" s="32" t="s">
        <v>30</v>
      </c>
      <c r="T1" s="33"/>
      <c r="U1" s="33"/>
      <c r="V1" s="33"/>
      <c r="W1" s="33"/>
      <c r="X1" s="33"/>
      <c r="Y1" s="33"/>
      <c r="Z1" s="33"/>
      <c r="AA1" s="33"/>
      <c r="AB1" s="33"/>
      <c r="AC1" s="33"/>
      <c r="AD1" s="33"/>
      <c r="AE1" s="33"/>
      <c r="AF1" s="33"/>
      <c r="AG1" s="33"/>
      <c r="AH1" s="33"/>
      <c r="AI1" s="33"/>
      <c r="AJ1" s="33"/>
    </row>
    <row r="2" spans="1:36" s="1" customFormat="1">
      <c r="A2" s="34"/>
      <c r="B2" s="35"/>
      <c r="C2" s="36"/>
      <c r="D2" s="33"/>
      <c r="E2" s="35"/>
      <c r="F2" s="37" t="s">
        <v>15</v>
      </c>
      <c r="G2" s="35" t="s">
        <v>16</v>
      </c>
      <c r="H2" s="36"/>
      <c r="I2" s="37"/>
      <c r="J2" s="35"/>
      <c r="K2" s="37"/>
      <c r="L2" s="35"/>
      <c r="M2" s="37"/>
      <c r="N2" s="35"/>
      <c r="O2" s="37"/>
      <c r="P2" s="35"/>
      <c r="Q2" s="37"/>
      <c r="R2" s="35"/>
      <c r="S2" s="33"/>
      <c r="T2" s="33"/>
      <c r="U2" s="33"/>
      <c r="V2" s="33"/>
      <c r="W2" s="33"/>
      <c r="X2" s="33"/>
      <c r="Y2" s="33"/>
      <c r="Z2" s="33"/>
      <c r="AA2" s="33"/>
      <c r="AB2" s="33"/>
      <c r="AC2" s="33"/>
      <c r="AD2" s="33"/>
      <c r="AE2" s="33"/>
      <c r="AF2" s="33"/>
      <c r="AG2" s="33"/>
      <c r="AH2" s="33"/>
      <c r="AI2" s="33"/>
      <c r="AJ2" s="33"/>
    </row>
    <row r="3" spans="1:36" s="1" customFormat="1">
      <c r="A3" s="38" t="s">
        <v>31</v>
      </c>
      <c r="B3" s="35" t="s">
        <v>32</v>
      </c>
      <c r="C3" s="36" t="s">
        <v>33</v>
      </c>
      <c r="D3" s="33"/>
      <c r="E3" s="35" t="s">
        <v>34</v>
      </c>
      <c r="F3" s="195" t="s">
        <v>35</v>
      </c>
      <c r="G3" s="196"/>
      <c r="H3" s="39" t="s">
        <v>33</v>
      </c>
      <c r="I3" s="37" t="s">
        <v>35</v>
      </c>
      <c r="J3" s="39" t="s">
        <v>33</v>
      </c>
      <c r="K3" s="37" t="s">
        <v>35</v>
      </c>
      <c r="L3" s="39" t="s">
        <v>33</v>
      </c>
      <c r="M3" s="37" t="s">
        <v>35</v>
      </c>
      <c r="N3" s="39" t="s">
        <v>33</v>
      </c>
      <c r="O3" s="37" t="s">
        <v>35</v>
      </c>
      <c r="P3" s="39" t="s">
        <v>33</v>
      </c>
      <c r="Q3" s="37" t="s">
        <v>35</v>
      </c>
      <c r="R3" s="39" t="s">
        <v>33</v>
      </c>
      <c r="S3" s="33"/>
      <c r="T3" s="33"/>
      <c r="U3" s="33"/>
      <c r="V3" s="33"/>
      <c r="W3" s="33"/>
      <c r="X3" s="33"/>
      <c r="Y3" s="33"/>
      <c r="Z3" s="33"/>
      <c r="AA3" s="33"/>
      <c r="AB3" s="33"/>
      <c r="AC3" s="33"/>
      <c r="AD3" s="33"/>
      <c r="AE3" s="33"/>
      <c r="AF3" s="33"/>
      <c r="AG3" s="33"/>
      <c r="AH3" s="33"/>
      <c r="AI3" s="33"/>
      <c r="AJ3" s="33"/>
    </row>
    <row r="4" spans="1:36">
      <c r="A4" s="31" t="s">
        <v>36</v>
      </c>
      <c r="B4" s="40"/>
      <c r="C4" s="41"/>
      <c r="D4" s="41"/>
      <c r="E4" s="41"/>
      <c r="F4" s="42"/>
      <c r="G4" s="41"/>
      <c r="H4" s="43"/>
      <c r="I4" s="44"/>
      <c r="J4" s="43"/>
      <c r="K4" s="44"/>
      <c r="L4" s="43"/>
      <c r="M4" s="44"/>
      <c r="N4" s="43"/>
      <c r="O4" s="44"/>
      <c r="P4" s="43"/>
      <c r="Q4" s="44"/>
      <c r="R4" s="43"/>
      <c r="S4" s="41"/>
      <c r="T4" s="41"/>
      <c r="U4" s="41"/>
      <c r="V4" s="41"/>
      <c r="W4" s="41"/>
      <c r="X4" s="41"/>
      <c r="Y4" s="41"/>
      <c r="Z4" s="41"/>
      <c r="AA4" s="41"/>
      <c r="AB4" s="41"/>
      <c r="AC4" s="41"/>
      <c r="AD4" s="41"/>
      <c r="AE4" s="41"/>
      <c r="AF4" s="41"/>
      <c r="AG4" s="41"/>
      <c r="AH4" s="41"/>
      <c r="AI4" s="41"/>
      <c r="AJ4" s="41"/>
    </row>
    <row r="5" spans="1:36">
      <c r="A5" s="33" t="s">
        <v>37</v>
      </c>
      <c r="B5" s="45">
        <f>C5*1.14</f>
        <v>0.17712362078611207</v>
      </c>
      <c r="C5" s="45">
        <f t="shared" ref="C5:C11" si="0">D5/(D$37*1000000)</f>
        <v>0.15537159718080007</v>
      </c>
      <c r="D5" s="46">
        <f>F5+G5+I5+K5+M5+O5+Q5</f>
        <v>11652869.788560005</v>
      </c>
      <c r="E5" s="47">
        <f t="shared" ref="E5:E11" si="1">D5/D$34</f>
        <v>0.12025665416470593</v>
      </c>
      <c r="F5" s="48">
        <v>2387080.8561600004</v>
      </c>
      <c r="G5" s="8">
        <v>2170073.5056000003</v>
      </c>
      <c r="H5" s="12">
        <f t="shared" ref="H5:H11" si="2">G5/G$37/1000000</f>
        <v>0.15368792532577907</v>
      </c>
      <c r="I5" s="48">
        <v>2398235.4396000002</v>
      </c>
      <c r="J5" s="12">
        <f t="shared" ref="J5:J11" si="3">I5/I$37/1000000</f>
        <v>0.1545254793556701</v>
      </c>
      <c r="K5" s="48">
        <v>1779035.3380800006</v>
      </c>
      <c r="L5" s="12">
        <f t="shared" ref="L5:L11" si="4">K5/K$37/1000000</f>
        <v>0.15660522342253527</v>
      </c>
      <c r="M5" s="48">
        <v>1691778.4884000004</v>
      </c>
      <c r="N5" s="12">
        <f t="shared" ref="N5:N11" si="5">M5/M$37/1000000</f>
        <v>0.15811013910280378</v>
      </c>
      <c r="O5" s="48">
        <v>818002.78560000006</v>
      </c>
      <c r="P5" s="12">
        <f t="shared" ref="P5:P11" si="6">O5/O$37/1000000</f>
        <v>0.15822104170212767</v>
      </c>
      <c r="Q5" s="48">
        <v>408663.37512000004</v>
      </c>
      <c r="R5" s="12">
        <f t="shared" ref="R5:R11" si="7">Q5/Q$37/1000000</f>
        <v>0.15657600579310349</v>
      </c>
      <c r="S5" s="49" t="s">
        <v>38</v>
      </c>
      <c r="T5" s="50"/>
      <c r="U5" s="50"/>
      <c r="V5" s="50"/>
      <c r="W5" s="50"/>
      <c r="X5" s="50"/>
      <c r="Y5" s="189" t="s">
        <v>39</v>
      </c>
      <c r="Z5" s="50"/>
      <c r="AA5" s="50"/>
      <c r="AB5" s="50"/>
      <c r="AC5" s="50"/>
      <c r="AD5" s="41"/>
      <c r="AE5" s="41"/>
      <c r="AF5" s="41"/>
      <c r="AG5" s="41"/>
      <c r="AH5" s="41"/>
      <c r="AI5" s="41"/>
      <c r="AJ5" s="41"/>
    </row>
    <row r="6" spans="1:36">
      <c r="A6" s="33" t="s">
        <v>40</v>
      </c>
      <c r="B6" s="45">
        <f t="shared" ref="B6:B11" si="8">C6*1.14</f>
        <v>0.1220139752832</v>
      </c>
      <c r="C6" s="45">
        <f t="shared" si="0"/>
        <v>0.10702980288000001</v>
      </c>
      <c r="D6" s="46">
        <f t="shared" ref="D6:D11" si="9">F6+G6+I6+K6+M6+O6+Q6</f>
        <v>8027235.2160000009</v>
      </c>
      <c r="E6" s="47">
        <f t="shared" si="1"/>
        <v>8.2840404705882359E-2</v>
      </c>
      <c r="F6" s="48">
        <v>1644372.5760000001</v>
      </c>
      <c r="G6" s="8">
        <v>1494884.1600000001</v>
      </c>
      <c r="H6" s="12">
        <f t="shared" si="2"/>
        <v>0.10586998300283287</v>
      </c>
      <c r="I6" s="48">
        <v>1652056.56</v>
      </c>
      <c r="J6" s="12">
        <f t="shared" si="3"/>
        <v>0.10644694329896909</v>
      </c>
      <c r="K6" s="48">
        <v>1225512.2880000004</v>
      </c>
      <c r="L6" s="51">
        <f t="shared" si="4"/>
        <v>0.10787960281690144</v>
      </c>
      <c r="M6" s="48">
        <v>1165404.2400000002</v>
      </c>
      <c r="N6" s="51">
        <f t="shared" si="5"/>
        <v>0.10891628411214956</v>
      </c>
      <c r="O6" s="48">
        <v>563492.16</v>
      </c>
      <c r="P6" s="51">
        <f t="shared" si="6"/>
        <v>0.10899268085106384</v>
      </c>
      <c r="Q6" s="48">
        <v>281513.23200000002</v>
      </c>
      <c r="R6" s="12">
        <f t="shared" si="7"/>
        <v>0.10785947586206898</v>
      </c>
      <c r="S6" s="41" t="s">
        <v>41</v>
      </c>
      <c r="T6" s="41"/>
      <c r="U6" s="41"/>
      <c r="V6" s="41"/>
      <c r="W6" s="41"/>
      <c r="X6" s="41"/>
      <c r="Y6" s="41"/>
      <c r="Z6" s="41"/>
      <c r="AA6" s="41"/>
      <c r="AB6" s="41"/>
      <c r="AC6" s="41"/>
      <c r="AD6" s="41"/>
      <c r="AE6" s="41"/>
      <c r="AF6" s="41"/>
      <c r="AG6" s="41"/>
      <c r="AH6" s="41"/>
      <c r="AI6" s="41"/>
      <c r="AJ6" s="41"/>
    </row>
    <row r="7" spans="1:36">
      <c r="A7" s="33" t="s">
        <v>42</v>
      </c>
      <c r="B7" s="45">
        <f t="shared" si="8"/>
        <v>0.17944544526480002</v>
      </c>
      <c r="C7" s="45">
        <f t="shared" si="0"/>
        <v>0.15740828532000004</v>
      </c>
      <c r="D7" s="46">
        <f t="shared" si="9"/>
        <v>11805621.399000002</v>
      </c>
      <c r="E7" s="47">
        <f t="shared" si="1"/>
        <v>0.12183303817337464</v>
      </c>
      <c r="F7" s="48">
        <v>2012670.0000000002</v>
      </c>
      <c r="G7" s="8">
        <v>2012670.0000000002</v>
      </c>
      <c r="H7" s="12">
        <f t="shared" si="2"/>
        <v>0.14254036827195471</v>
      </c>
      <c r="I7" s="48">
        <v>2149785</v>
      </c>
      <c r="J7" s="12">
        <f t="shared" si="3"/>
        <v>0.13851707474226804</v>
      </c>
      <c r="K7" s="48">
        <v>2059162.6000000003</v>
      </c>
      <c r="L7" s="12">
        <f t="shared" si="4"/>
        <v>0.18126431338028173</v>
      </c>
      <c r="M7" s="48">
        <v>2078054.0000000002</v>
      </c>
      <c r="N7" s="12">
        <f t="shared" si="5"/>
        <v>0.19421065420560751</v>
      </c>
      <c r="O7" s="48">
        <v>1087306</v>
      </c>
      <c r="P7" s="12">
        <f t="shared" si="6"/>
        <v>0.21031063829787236</v>
      </c>
      <c r="Q7" s="48">
        <v>405973.79899999994</v>
      </c>
      <c r="R7" s="12">
        <f t="shared" si="7"/>
        <v>0.15554551685823753</v>
      </c>
      <c r="S7" s="41" t="s">
        <v>43</v>
      </c>
      <c r="T7" s="41"/>
      <c r="U7" s="41"/>
      <c r="V7" s="41"/>
      <c r="W7" s="41"/>
      <c r="X7" s="41"/>
      <c r="Y7" s="41"/>
      <c r="Z7" s="41"/>
      <c r="AA7" s="41"/>
      <c r="AB7" s="41"/>
      <c r="AC7" s="41"/>
      <c r="AD7" s="41"/>
      <c r="AE7" s="41"/>
      <c r="AF7" s="41"/>
      <c r="AG7" s="41"/>
      <c r="AH7" s="41"/>
      <c r="AI7" s="41"/>
      <c r="AJ7" s="41"/>
    </row>
    <row r="8" spans="1:36">
      <c r="A8" s="33" t="s">
        <v>44</v>
      </c>
      <c r="B8" s="45">
        <f t="shared" si="8"/>
        <v>0.21878468068599996</v>
      </c>
      <c r="C8" s="45">
        <f t="shared" si="0"/>
        <v>0.19191638656666665</v>
      </c>
      <c r="D8" s="46">
        <f t="shared" si="9"/>
        <v>14393728.9925</v>
      </c>
      <c r="E8" s="47">
        <f t="shared" si="1"/>
        <v>0.14854209486584108</v>
      </c>
      <c r="F8" s="48">
        <v>2104844.9400000004</v>
      </c>
      <c r="G8" s="8">
        <v>2104844.9400000004</v>
      </c>
      <c r="H8" s="12">
        <f t="shared" si="2"/>
        <v>0.1490683385269122</v>
      </c>
      <c r="I8" s="48">
        <v>2603650.0874999999</v>
      </c>
      <c r="J8" s="12">
        <f t="shared" si="3"/>
        <v>0.16776095924613402</v>
      </c>
      <c r="K8" s="48">
        <v>2627646.8624999998</v>
      </c>
      <c r="L8" s="12">
        <f t="shared" si="4"/>
        <v>0.23130694212147887</v>
      </c>
      <c r="M8" s="48">
        <v>2651643.6375000002</v>
      </c>
      <c r="N8" s="12">
        <f t="shared" si="5"/>
        <v>0.24781716238317761</v>
      </c>
      <c r="O8" s="48">
        <v>1429215.7000000002</v>
      </c>
      <c r="P8" s="12">
        <f t="shared" si="6"/>
        <v>0.27644404255319155</v>
      </c>
      <c r="Q8" s="48">
        <v>871882.82500000019</v>
      </c>
      <c r="R8" s="12">
        <f t="shared" si="7"/>
        <v>0.33405472222222232</v>
      </c>
      <c r="S8" s="41" t="s">
        <v>45</v>
      </c>
      <c r="T8" s="41"/>
      <c r="U8" s="41"/>
      <c r="V8" s="41"/>
      <c r="W8" s="41"/>
      <c r="X8" s="41"/>
      <c r="Y8" s="41"/>
      <c r="Z8" s="41"/>
      <c r="AA8" s="41"/>
      <c r="AB8" s="41"/>
      <c r="AC8" s="41"/>
      <c r="AD8" s="41"/>
      <c r="AE8" s="41"/>
      <c r="AF8" s="41"/>
      <c r="AG8" s="41"/>
      <c r="AH8" s="41"/>
      <c r="AI8" s="41"/>
      <c r="AJ8" s="41"/>
    </row>
    <row r="9" spans="1:36">
      <c r="A9" s="33" t="s">
        <v>46</v>
      </c>
      <c r="B9" s="45">
        <f t="shared" si="8"/>
        <v>5.8447009599999995E-2</v>
      </c>
      <c r="C9" s="45">
        <f t="shared" si="0"/>
        <v>5.1269306666666667E-2</v>
      </c>
      <c r="D9" s="46">
        <f t="shared" si="9"/>
        <v>3845198</v>
      </c>
      <c r="E9" s="47">
        <f t="shared" si="1"/>
        <v>3.9682125902992776E-2</v>
      </c>
      <c r="F9" s="48">
        <v>704835</v>
      </c>
      <c r="G9" s="8">
        <v>679583</v>
      </c>
      <c r="H9" s="12">
        <f t="shared" si="2"/>
        <v>4.8129107648725217E-2</v>
      </c>
      <c r="I9" s="48">
        <v>618752</v>
      </c>
      <c r="J9" s="12">
        <f t="shared" si="3"/>
        <v>3.9868041237113398E-2</v>
      </c>
      <c r="K9" s="48">
        <v>554029</v>
      </c>
      <c r="L9" s="12">
        <f t="shared" si="4"/>
        <v>4.8770158450704225E-2</v>
      </c>
      <c r="M9" s="48">
        <v>544647</v>
      </c>
      <c r="N9" s="12">
        <f t="shared" si="5"/>
        <v>5.0901588785046734E-2</v>
      </c>
      <c r="O9" s="48">
        <v>375132</v>
      </c>
      <c r="P9" s="12">
        <f t="shared" si="6"/>
        <v>7.255938104448742E-2</v>
      </c>
      <c r="Q9" s="48">
        <v>368220</v>
      </c>
      <c r="R9" s="12">
        <f t="shared" si="7"/>
        <v>0.14108045977011494</v>
      </c>
      <c r="S9" s="41" t="s">
        <v>47</v>
      </c>
      <c r="T9" s="41"/>
      <c r="U9" s="41"/>
      <c r="V9" s="41"/>
      <c r="W9" s="41"/>
      <c r="X9" s="41"/>
      <c r="Y9" s="41"/>
      <c r="Z9" s="41"/>
      <c r="AA9" s="41"/>
      <c r="AB9" s="41"/>
      <c r="AC9" s="41"/>
      <c r="AD9" s="41"/>
      <c r="AE9" s="41"/>
      <c r="AF9" s="41"/>
      <c r="AG9" s="41"/>
      <c r="AH9" s="41"/>
      <c r="AI9" s="41"/>
      <c r="AJ9" s="41"/>
    </row>
    <row r="10" spans="1:36">
      <c r="A10" s="33" t="s">
        <v>48</v>
      </c>
      <c r="B10" s="52">
        <f t="shared" si="8"/>
        <v>2.9259999999999998E-2</v>
      </c>
      <c r="C10" s="52">
        <f t="shared" si="0"/>
        <v>2.5666666666666667E-2</v>
      </c>
      <c r="D10" s="10">
        <f t="shared" si="9"/>
        <v>1925000</v>
      </c>
      <c r="E10" s="53">
        <f t="shared" si="1"/>
        <v>1.9865841073271415E-2</v>
      </c>
      <c r="F10" s="54">
        <v>450000</v>
      </c>
      <c r="G10" s="11">
        <v>100000</v>
      </c>
      <c r="H10" s="55">
        <f t="shared" si="2"/>
        <v>7.0821529745042503E-3</v>
      </c>
      <c r="I10" s="54">
        <v>300000</v>
      </c>
      <c r="J10" s="55">
        <f t="shared" si="3"/>
        <v>1.9329896907216496E-2</v>
      </c>
      <c r="K10" s="54">
        <v>425000</v>
      </c>
      <c r="L10" s="55">
        <f t="shared" si="4"/>
        <v>3.7411971830985914E-2</v>
      </c>
      <c r="M10" s="54">
        <v>200000</v>
      </c>
      <c r="N10" s="55">
        <f t="shared" si="5"/>
        <v>1.8691588785046731E-2</v>
      </c>
      <c r="O10" s="54">
        <v>225000</v>
      </c>
      <c r="P10" s="55">
        <f t="shared" si="6"/>
        <v>4.3520309477756286E-2</v>
      </c>
      <c r="Q10" s="54">
        <v>225000</v>
      </c>
      <c r="R10" s="55">
        <f t="shared" si="7"/>
        <v>8.6206896551724144E-2</v>
      </c>
      <c r="S10" s="41" t="s">
        <v>49</v>
      </c>
      <c r="T10" s="41"/>
      <c r="U10" s="41"/>
      <c r="V10" s="41"/>
      <c r="W10" s="41"/>
      <c r="X10" s="41"/>
      <c r="Y10" s="41"/>
      <c r="Z10" s="41"/>
      <c r="AA10" s="41"/>
      <c r="AB10" s="41"/>
      <c r="AC10" s="41"/>
      <c r="AD10" s="41"/>
      <c r="AE10" s="41"/>
      <c r="AF10" s="41"/>
      <c r="AG10" s="41"/>
      <c r="AH10" s="41"/>
      <c r="AI10" s="41"/>
      <c r="AJ10" s="41"/>
    </row>
    <row r="11" spans="1:36">
      <c r="A11" s="31" t="s">
        <v>50</v>
      </c>
      <c r="B11" s="56">
        <f t="shared" si="8"/>
        <v>0.78507473162011188</v>
      </c>
      <c r="C11" s="56">
        <f t="shared" si="0"/>
        <v>0.68866204528079999</v>
      </c>
      <c r="D11" s="46">
        <f t="shared" si="9"/>
        <v>51649653.396059997</v>
      </c>
      <c r="E11" s="57">
        <f t="shared" si="1"/>
        <v>0.53302015888606813</v>
      </c>
      <c r="F11" s="58">
        <f t="shared" ref="F11:Q11" si="10">SUM(F5:F10)</f>
        <v>9303803.3721600007</v>
      </c>
      <c r="G11" s="7">
        <f t="shared" si="10"/>
        <v>8562055.6056000013</v>
      </c>
      <c r="H11" s="12">
        <f t="shared" si="2"/>
        <v>0.60637787575070834</v>
      </c>
      <c r="I11" s="58">
        <f t="shared" si="10"/>
        <v>9722479.0871000011</v>
      </c>
      <c r="J11" s="12">
        <f t="shared" si="3"/>
        <v>0.62644839478737124</v>
      </c>
      <c r="K11" s="58">
        <f t="shared" si="10"/>
        <v>8670386.0885800011</v>
      </c>
      <c r="L11" s="12">
        <f t="shared" si="4"/>
        <v>0.76323821202288744</v>
      </c>
      <c r="M11" s="58">
        <f t="shared" si="10"/>
        <v>8331527.3659000006</v>
      </c>
      <c r="N11" s="12">
        <f t="shared" si="5"/>
        <v>0.77864741737383181</v>
      </c>
      <c r="O11" s="58">
        <f t="shared" si="10"/>
        <v>4498148.6456000004</v>
      </c>
      <c r="P11" s="12">
        <f t="shared" si="6"/>
        <v>0.87004809392649918</v>
      </c>
      <c r="Q11" s="58">
        <f t="shared" si="10"/>
        <v>2561253.2311200001</v>
      </c>
      <c r="R11" s="12">
        <f t="shared" si="7"/>
        <v>0.98132307705747135</v>
      </c>
      <c r="S11" s="41"/>
      <c r="T11" s="41"/>
      <c r="U11" s="41"/>
      <c r="V11" s="41"/>
      <c r="W11" s="41"/>
      <c r="X11" s="41"/>
      <c r="Y11" s="41"/>
      <c r="Z11" s="41"/>
      <c r="AA11" s="41"/>
      <c r="AB11" s="41"/>
      <c r="AC11" s="41"/>
      <c r="AD11" s="41"/>
      <c r="AE11" s="41"/>
      <c r="AF11" s="41"/>
      <c r="AG11" s="41"/>
      <c r="AH11" s="41"/>
      <c r="AI11" s="41"/>
      <c r="AJ11" s="41"/>
    </row>
    <row r="12" spans="1:36">
      <c r="A12" s="33"/>
      <c r="B12" s="45"/>
      <c r="C12" s="41"/>
      <c r="D12" s="59"/>
      <c r="E12" s="41"/>
      <c r="F12" s="48"/>
      <c r="G12" s="8"/>
      <c r="H12" s="9">
        <f>G12/G$37</f>
        <v>0</v>
      </c>
      <c r="I12" s="48"/>
      <c r="J12" s="9">
        <f>I12/I$37</f>
        <v>0</v>
      </c>
      <c r="K12" s="48"/>
      <c r="L12" s="9">
        <f>K12/K$37</f>
        <v>0</v>
      </c>
      <c r="M12" s="48"/>
      <c r="N12" s="9">
        <f>M12/M$37</f>
        <v>0</v>
      </c>
      <c r="O12" s="48"/>
      <c r="P12" s="9"/>
      <c r="Q12" s="48"/>
      <c r="R12" s="9"/>
      <c r="S12" s="41"/>
      <c r="T12" s="41"/>
      <c r="U12" s="41"/>
      <c r="V12" s="41"/>
      <c r="W12" s="41"/>
      <c r="X12" s="41"/>
      <c r="Y12" s="41"/>
      <c r="Z12" s="41"/>
      <c r="AA12" s="41"/>
      <c r="AB12" s="41"/>
      <c r="AC12" s="41"/>
      <c r="AD12" s="41"/>
      <c r="AE12" s="41"/>
      <c r="AF12" s="41"/>
      <c r="AG12" s="41"/>
      <c r="AH12" s="41"/>
      <c r="AI12" s="41"/>
      <c r="AJ12" s="41"/>
    </row>
    <row r="13" spans="1:36">
      <c r="A13" s="31" t="s">
        <v>51</v>
      </c>
      <c r="B13" s="45"/>
      <c r="C13" s="40"/>
      <c r="D13" s="59"/>
      <c r="E13" s="40"/>
      <c r="F13" s="48"/>
      <c r="G13" s="8"/>
      <c r="H13" s="9"/>
      <c r="I13" s="48"/>
      <c r="J13" s="9"/>
      <c r="K13" s="48"/>
      <c r="L13" s="9"/>
      <c r="M13" s="48"/>
      <c r="N13" s="9"/>
      <c r="O13" s="48"/>
      <c r="P13" s="9"/>
      <c r="Q13" s="48"/>
      <c r="R13" s="9">
        <f>Q13/Q$37</f>
        <v>0</v>
      </c>
      <c r="S13" s="41"/>
      <c r="T13" s="41"/>
      <c r="U13" s="41"/>
      <c r="V13" s="41"/>
      <c r="W13" s="41"/>
      <c r="X13" s="41"/>
      <c r="Y13" s="41"/>
      <c r="Z13" s="41"/>
      <c r="AA13" s="41"/>
      <c r="AB13" s="41"/>
      <c r="AC13" s="41"/>
      <c r="AD13" s="41"/>
      <c r="AE13" s="41"/>
      <c r="AF13" s="41"/>
      <c r="AG13" s="41"/>
      <c r="AH13" s="41"/>
      <c r="AI13" s="41"/>
      <c r="AJ13" s="41"/>
    </row>
    <row r="14" spans="1:36">
      <c r="A14" s="33" t="s">
        <v>52</v>
      </c>
      <c r="B14" s="45">
        <f t="shared" ref="B14:B18" si="11">C14*1.14</f>
        <v>7.9399571199999991E-2</v>
      </c>
      <c r="C14" s="45">
        <f>D14/(D$37*1000000)</f>
        <v>6.9648746666666664E-2</v>
      </c>
      <c r="D14" s="46">
        <f t="shared" ref="D14:D18" si="12">F14+G14+I14+K14+M14+O14+Q14</f>
        <v>5223656</v>
      </c>
      <c r="E14" s="47">
        <f>D14/D$34</f>
        <v>5.3907698658410733E-2</v>
      </c>
      <c r="F14" s="48">
        <f>1055707-F15</f>
        <v>874033</v>
      </c>
      <c r="G14" s="8">
        <f>1021299-G15</f>
        <v>846507</v>
      </c>
      <c r="H14" s="12">
        <f>G14/G$37/1000000</f>
        <v>5.9950920679886686E-2</v>
      </c>
      <c r="I14" s="48">
        <f>1293212-I15</f>
        <v>1019336</v>
      </c>
      <c r="J14" s="12">
        <f>I14/I$37/1000000</f>
        <v>6.567886597938144E-2</v>
      </c>
      <c r="K14" s="48">
        <f>1096609-K15</f>
        <v>777371</v>
      </c>
      <c r="L14" s="12">
        <f>K14/K$37/1000000</f>
        <v>6.8430545774647897E-2</v>
      </c>
      <c r="M14" s="48">
        <f>1120102-M15</f>
        <v>764169</v>
      </c>
      <c r="N14" s="12">
        <f>M14/M$37/1000000</f>
        <v>7.1417663551401875E-2</v>
      </c>
      <c r="O14" s="48">
        <f>855755-O15</f>
        <v>564462</v>
      </c>
      <c r="P14" s="12">
        <f>O14/O$37/1000000</f>
        <v>0.10918027079303674</v>
      </c>
      <c r="Q14" s="48">
        <f>573781-Q15</f>
        <v>377778</v>
      </c>
      <c r="R14" s="12">
        <f>Q14/Q$37/1000000</f>
        <v>0.1447425287356322</v>
      </c>
      <c r="S14" s="41" t="s">
        <v>53</v>
      </c>
      <c r="T14" s="41"/>
      <c r="U14" s="41"/>
      <c r="V14" s="41"/>
      <c r="W14" s="41"/>
      <c r="X14" s="41"/>
      <c r="Y14" s="41"/>
      <c r="Z14" s="41"/>
      <c r="AA14" s="41"/>
      <c r="AB14" s="41"/>
      <c r="AC14" s="41"/>
      <c r="AD14" s="41"/>
      <c r="AE14" s="41"/>
      <c r="AF14" s="41"/>
      <c r="AG14" s="41"/>
      <c r="AH14" s="41"/>
      <c r="AI14" s="41"/>
      <c r="AJ14" s="41"/>
    </row>
    <row r="15" spans="1:36">
      <c r="A15" s="33" t="s">
        <v>54</v>
      </c>
      <c r="B15" s="45">
        <f t="shared" ref="B15" si="13">C15*1.14</f>
        <v>2.7250696799999998E-2</v>
      </c>
      <c r="C15" s="45">
        <f>D15/(D$37*1000000)</f>
        <v>2.3904120000000001E-2</v>
      </c>
      <c r="D15" s="46">
        <f t="shared" si="12"/>
        <v>1792809</v>
      </c>
      <c r="E15" s="47">
        <f>D15/D$34</f>
        <v>1.8501640866873066E-2</v>
      </c>
      <c r="F15" s="48">
        <v>181674</v>
      </c>
      <c r="G15" s="8">
        <v>174792</v>
      </c>
      <c r="H15" s="12">
        <f>G15/G$37/1000000</f>
        <v>1.2379036827195468E-2</v>
      </c>
      <c r="I15" s="48">
        <v>273876</v>
      </c>
      <c r="J15" s="12">
        <f>I15/I$37/1000000</f>
        <v>1.7646649484536082E-2</v>
      </c>
      <c r="K15" s="48">
        <v>319238</v>
      </c>
      <c r="L15" s="12">
        <f>K15/K$37/1000000</f>
        <v>2.8101936619718312E-2</v>
      </c>
      <c r="M15" s="48">
        <v>355933</v>
      </c>
      <c r="N15" s="12">
        <f>M15/M$37/1000000</f>
        <v>3.3264766355140182E-2</v>
      </c>
      <c r="O15" s="48">
        <v>291293</v>
      </c>
      <c r="P15" s="12">
        <f>O15/O$37/1000000</f>
        <v>5.6342940038684716E-2</v>
      </c>
      <c r="Q15" s="48">
        <v>196003</v>
      </c>
      <c r="R15" s="12">
        <f>Q15/Q$37/1000000</f>
        <v>7.5096934865900383E-2</v>
      </c>
      <c r="S15" s="41"/>
      <c r="T15" s="41"/>
      <c r="U15" s="41"/>
      <c r="V15" s="41"/>
      <c r="W15" s="41"/>
      <c r="X15" s="41"/>
      <c r="Y15" s="41"/>
      <c r="Z15" s="41"/>
      <c r="AA15" s="41"/>
      <c r="AB15" s="41"/>
      <c r="AC15" s="41"/>
      <c r="AD15" s="41"/>
      <c r="AE15" s="41"/>
      <c r="AF15" s="41"/>
      <c r="AG15" s="41"/>
      <c r="AH15" s="41"/>
      <c r="AI15" s="41"/>
      <c r="AJ15" s="41"/>
    </row>
    <row r="16" spans="1:36">
      <c r="A16" s="33" t="s">
        <v>55</v>
      </c>
      <c r="B16" s="45">
        <f t="shared" si="11"/>
        <v>0.11696635599999999</v>
      </c>
      <c r="C16" s="45">
        <f>D16/(D$37*1000000)</f>
        <v>0.10260206666666667</v>
      </c>
      <c r="D16" s="46">
        <f t="shared" si="12"/>
        <v>7695155</v>
      </c>
      <c r="E16" s="47">
        <f>D16/D$34</f>
        <v>7.9413364293085653E-2</v>
      </c>
      <c r="F16" s="48">
        <v>1526375</v>
      </c>
      <c r="G16" s="8">
        <v>1244375</v>
      </c>
      <c r="H16" s="12">
        <f>G16/G$37/1000000</f>
        <v>8.8128541076487252E-2</v>
      </c>
      <c r="I16" s="48">
        <v>1523125</v>
      </c>
      <c r="J16" s="12">
        <f>I16/I$37/1000000</f>
        <v>9.8139497422680425E-2</v>
      </c>
      <c r="K16" s="48">
        <v>1561250</v>
      </c>
      <c r="L16" s="12">
        <f>K16/K$37/1000000</f>
        <v>0.13743397887323947</v>
      </c>
      <c r="M16" s="48">
        <v>997750</v>
      </c>
      <c r="N16" s="12">
        <f>M16/M$37/1000000</f>
        <v>9.3247663551401877E-2</v>
      </c>
      <c r="O16" s="48">
        <v>542250</v>
      </c>
      <c r="P16" s="12">
        <f>O16/O$37/1000000</f>
        <v>0.10488394584139264</v>
      </c>
      <c r="Q16" s="48">
        <v>300030</v>
      </c>
      <c r="R16" s="12">
        <f>Q16/Q$37/1000000</f>
        <v>0.11495402298850575</v>
      </c>
      <c r="S16" s="41" t="s">
        <v>56</v>
      </c>
      <c r="T16" s="41"/>
      <c r="U16" s="41"/>
      <c r="V16" s="41"/>
      <c r="W16" s="41"/>
      <c r="X16" s="41"/>
      <c r="Y16" s="41"/>
      <c r="Z16" s="41"/>
      <c r="AA16" s="41"/>
      <c r="AB16" s="41"/>
      <c r="AC16" s="41"/>
      <c r="AD16" s="41"/>
      <c r="AE16" s="41"/>
      <c r="AF16" s="41"/>
      <c r="AG16" s="41"/>
      <c r="AH16" s="41"/>
      <c r="AI16" s="41"/>
      <c r="AJ16" s="41"/>
    </row>
    <row r="17" spans="1:36">
      <c r="A17" s="33" t="s">
        <v>57</v>
      </c>
      <c r="B17" s="52">
        <f t="shared" si="11"/>
        <v>0.11107602159999998</v>
      </c>
      <c r="C17" s="52">
        <f>D17/(D$37*1000000)</f>
        <v>9.743510666666666E-2</v>
      </c>
      <c r="D17" s="10">
        <f t="shared" si="12"/>
        <v>7307633</v>
      </c>
      <c r="E17" s="53">
        <f>D17/D$34</f>
        <v>7.5414169246646026E-2</v>
      </c>
      <c r="F17" s="54">
        <v>1343498</v>
      </c>
      <c r="G17" s="11">
        <v>1157936</v>
      </c>
      <c r="H17" s="55">
        <f>G17/G$37/1000000</f>
        <v>8.2006798866855538E-2</v>
      </c>
      <c r="I17" s="54">
        <v>1410635</v>
      </c>
      <c r="J17" s="55">
        <f>I17/I$37/1000000</f>
        <v>9.0891430412371133E-2</v>
      </c>
      <c r="K17" s="54">
        <v>1246548</v>
      </c>
      <c r="L17" s="55">
        <f>K17/K$37/1000000</f>
        <v>0.10973133802816902</v>
      </c>
      <c r="M17" s="54">
        <v>1146743</v>
      </c>
      <c r="N17" s="55">
        <f>M17/M$37/1000000</f>
        <v>0.10717224299065421</v>
      </c>
      <c r="O17" s="54">
        <v>642085</v>
      </c>
      <c r="P17" s="55">
        <f>O17/O$37/1000000</f>
        <v>0.1241943907156673</v>
      </c>
      <c r="Q17" s="54">
        <v>360188</v>
      </c>
      <c r="R17" s="55">
        <f>Q17/Q$37/1000000</f>
        <v>0.13800306513409963</v>
      </c>
      <c r="S17" s="41" t="s">
        <v>58</v>
      </c>
      <c r="T17" s="41"/>
      <c r="U17" s="41"/>
      <c r="V17" s="41"/>
      <c r="W17" s="41"/>
      <c r="X17" s="41"/>
      <c r="Y17" s="41"/>
      <c r="Z17" s="41"/>
      <c r="AA17" s="41"/>
      <c r="AB17" s="41"/>
      <c r="AC17" s="41"/>
      <c r="AD17" s="41"/>
      <c r="AE17" s="41"/>
      <c r="AF17" s="41"/>
      <c r="AG17" s="41"/>
      <c r="AH17" s="41"/>
      <c r="AI17" s="41"/>
      <c r="AJ17" s="41"/>
    </row>
    <row r="18" spans="1:36">
      <c r="A18" s="31" t="s">
        <v>59</v>
      </c>
      <c r="B18" s="56">
        <f t="shared" si="11"/>
        <v>0.33469264559999995</v>
      </c>
      <c r="C18" s="56">
        <f>D18/(D$37*1000000)</f>
        <v>0.29359004</v>
      </c>
      <c r="D18" s="46">
        <f t="shared" si="12"/>
        <v>22019253</v>
      </c>
      <c r="E18" s="57">
        <f>D18/D$34</f>
        <v>0.22723687306501547</v>
      </c>
      <c r="F18" s="46">
        <f t="shared" ref="F18" si="14">SUM(F14:F17)</f>
        <v>3925580</v>
      </c>
      <c r="G18" s="46">
        <f t="shared" ref="G18" si="15">SUM(G14:G17)</f>
        <v>3423610</v>
      </c>
      <c r="H18" s="12">
        <f>G18/G$37/1000000</f>
        <v>0.24246529745042492</v>
      </c>
      <c r="I18" s="46">
        <f t="shared" ref="I18" si="16">SUM(I14:I17)</f>
        <v>4226972</v>
      </c>
      <c r="J18" s="12">
        <f>I18/I$37/1000000</f>
        <v>0.27235644329896908</v>
      </c>
      <c r="K18" s="58">
        <f t="shared" ref="K18:Q18" si="17">SUM(K14:K17)</f>
        <v>3904407</v>
      </c>
      <c r="L18" s="12">
        <f>K18/K$37/1000000</f>
        <v>0.34369779929577465</v>
      </c>
      <c r="M18" s="58">
        <f t="shared" si="17"/>
        <v>3264595</v>
      </c>
      <c r="N18" s="12">
        <f>M18/M$37/1000000</f>
        <v>0.30510233644859813</v>
      </c>
      <c r="O18" s="58">
        <f t="shared" si="17"/>
        <v>2040090</v>
      </c>
      <c r="P18" s="12">
        <f>O18/O$37/1000000</f>
        <v>0.39460154738878145</v>
      </c>
      <c r="Q18" s="58">
        <f t="shared" si="17"/>
        <v>1233999</v>
      </c>
      <c r="R18" s="12">
        <f>Q18/Q$37/1000000</f>
        <v>0.47279655172413798</v>
      </c>
      <c r="S18" s="41"/>
      <c r="T18" s="41"/>
      <c r="U18" s="41"/>
      <c r="V18" s="41"/>
      <c r="W18" s="41"/>
      <c r="X18" s="41"/>
      <c r="Y18" s="41"/>
      <c r="Z18" s="41"/>
      <c r="AA18" s="41"/>
      <c r="AB18" s="41"/>
      <c r="AC18" s="41"/>
      <c r="AD18" s="41"/>
      <c r="AE18" s="41"/>
      <c r="AF18" s="41"/>
      <c r="AG18" s="41"/>
      <c r="AH18" s="41"/>
      <c r="AI18" s="41"/>
      <c r="AJ18" s="41"/>
    </row>
    <row r="19" spans="1:36">
      <c r="A19" s="31"/>
      <c r="B19" s="56"/>
      <c r="C19" s="56"/>
      <c r="D19" s="46"/>
      <c r="E19" s="57"/>
      <c r="F19" s="46"/>
      <c r="G19" s="46"/>
      <c r="H19" s="12"/>
      <c r="I19" s="46"/>
      <c r="J19" s="12"/>
      <c r="K19" s="58"/>
      <c r="L19" s="12"/>
      <c r="M19" s="58"/>
      <c r="N19" s="12"/>
      <c r="O19" s="58"/>
      <c r="P19" s="12"/>
      <c r="Q19" s="58"/>
      <c r="R19" s="12"/>
      <c r="S19" s="41"/>
      <c r="T19" s="41"/>
      <c r="U19" s="41"/>
      <c r="V19" s="41"/>
      <c r="W19" s="41"/>
      <c r="X19" s="41"/>
      <c r="Y19" s="41"/>
      <c r="Z19" s="41"/>
      <c r="AA19" s="41"/>
      <c r="AB19" s="41"/>
      <c r="AC19" s="41"/>
      <c r="AD19" s="41"/>
      <c r="AE19" s="41"/>
      <c r="AF19" s="41"/>
      <c r="AG19" s="41"/>
      <c r="AH19" s="41"/>
      <c r="AI19" s="41"/>
      <c r="AJ19" s="41"/>
    </row>
    <row r="20" spans="1:36">
      <c r="A20" s="31" t="s">
        <v>60</v>
      </c>
      <c r="B20" s="60">
        <f>B11+B18</f>
        <v>1.1197673772201118</v>
      </c>
      <c r="C20" s="61">
        <f>D20/(D$37*1000000)</f>
        <v>0.98225208528079988</v>
      </c>
      <c r="D20" s="62">
        <f>D11+D18</f>
        <v>73668906.39605999</v>
      </c>
      <c r="E20" s="63">
        <f>E11+E18</f>
        <v>0.76025703195108363</v>
      </c>
      <c r="F20" s="62">
        <f>F11+F18</f>
        <v>13229383.372160001</v>
      </c>
      <c r="G20" s="62">
        <f>G11+G18</f>
        <v>11985665.605600001</v>
      </c>
      <c r="H20" s="61">
        <f>G20/(G$37*1000000)</f>
        <v>0.84884317320113323</v>
      </c>
      <c r="I20" s="62">
        <f>I11+I18</f>
        <v>13949451.087100001</v>
      </c>
      <c r="J20" s="64">
        <f>I20/(I$37*1000000)</f>
        <v>0.89880483808634026</v>
      </c>
      <c r="K20" s="62">
        <f>K11+K18</f>
        <v>12574793.088580001</v>
      </c>
      <c r="L20" s="64">
        <f>K20/(K$37*1000000)</f>
        <v>1.1069360113186621</v>
      </c>
      <c r="M20" s="62">
        <f>M11+M18</f>
        <v>11596122.365900001</v>
      </c>
      <c r="N20" s="64">
        <f>M20/(M$37*1000000)</f>
        <v>1.0837497538224299</v>
      </c>
      <c r="O20" s="62">
        <f>O11+O18</f>
        <v>6538238.6456000004</v>
      </c>
      <c r="P20" s="64">
        <f>O20/(O$37*1000000)</f>
        <v>1.2646496413152806</v>
      </c>
      <c r="Q20" s="62">
        <f>Q11+Q18</f>
        <v>3795252.2311200001</v>
      </c>
      <c r="R20" s="64">
        <f>Q20/(Q$37*1000000)</f>
        <v>1.4541196287816092</v>
      </c>
      <c r="S20" s="41"/>
      <c r="T20" s="41"/>
      <c r="U20" s="41"/>
      <c r="V20" s="41"/>
      <c r="W20" s="41"/>
      <c r="X20" s="41"/>
      <c r="Y20" s="41"/>
      <c r="Z20" s="41"/>
      <c r="AA20" s="41"/>
      <c r="AB20" s="41"/>
      <c r="AC20" s="41"/>
      <c r="AD20" s="41"/>
      <c r="AE20" s="41"/>
      <c r="AF20" s="41"/>
      <c r="AG20" s="41"/>
      <c r="AH20" s="41"/>
      <c r="AI20" s="41"/>
      <c r="AJ20" s="41"/>
    </row>
    <row r="21" spans="1:36">
      <c r="A21" s="33"/>
      <c r="B21" s="45"/>
      <c r="C21" s="41"/>
      <c r="D21" s="57"/>
      <c r="E21" s="41"/>
      <c r="F21" s="48"/>
      <c r="G21" s="8"/>
      <c r="H21" s="9"/>
      <c r="I21" s="48"/>
      <c r="J21" s="9"/>
      <c r="K21" s="48"/>
      <c r="L21" s="9"/>
      <c r="M21" s="48"/>
      <c r="N21" s="9"/>
      <c r="O21" s="48"/>
      <c r="P21" s="9"/>
      <c r="Q21" s="48"/>
      <c r="R21" s="9"/>
      <c r="S21" s="41"/>
      <c r="T21" s="41"/>
      <c r="U21" s="41"/>
      <c r="V21" s="41"/>
      <c r="W21" s="41"/>
      <c r="X21" s="41"/>
      <c r="Y21" s="41"/>
      <c r="Z21" s="41"/>
      <c r="AA21" s="41"/>
      <c r="AB21" s="41"/>
      <c r="AC21" s="41"/>
      <c r="AD21" s="41"/>
      <c r="AE21" s="41"/>
      <c r="AF21" s="41"/>
      <c r="AG21" s="41"/>
      <c r="AH21" s="41"/>
      <c r="AI21" s="41"/>
      <c r="AJ21" s="41"/>
    </row>
    <row r="22" spans="1:36">
      <c r="A22" s="31" t="s">
        <v>61</v>
      </c>
      <c r="B22" s="45"/>
      <c r="C22" s="40"/>
      <c r="D22" s="59"/>
      <c r="E22" s="40"/>
      <c r="F22" s="48"/>
      <c r="G22" s="8"/>
      <c r="H22" s="9"/>
      <c r="I22" s="48"/>
      <c r="J22" s="9"/>
      <c r="K22" s="48"/>
      <c r="L22" s="9"/>
      <c r="M22" s="48"/>
      <c r="N22" s="9"/>
      <c r="O22" s="48"/>
      <c r="P22" s="9"/>
      <c r="Q22" s="48"/>
      <c r="R22" s="9"/>
      <c r="S22" s="41"/>
      <c r="T22" s="41"/>
      <c r="U22" s="41"/>
      <c r="V22" s="41"/>
      <c r="W22" s="41"/>
      <c r="X22" s="41"/>
      <c r="Y22" s="41"/>
      <c r="Z22" s="41"/>
      <c r="AA22" s="41"/>
      <c r="AB22" s="41"/>
      <c r="AC22" s="41"/>
      <c r="AD22" s="41"/>
      <c r="AE22" s="41"/>
      <c r="AF22" s="41"/>
      <c r="AG22" s="41"/>
      <c r="AH22" s="41"/>
      <c r="AI22" s="41"/>
      <c r="AJ22" s="41"/>
    </row>
    <row r="23" spans="1:36">
      <c r="A23" s="33" t="s">
        <v>62</v>
      </c>
      <c r="B23" s="45">
        <f t="shared" ref="B23:B25" si="18">C23*1.14</f>
        <v>2.3975871999999995E-2</v>
      </c>
      <c r="C23" s="45">
        <f>D23/(D$37*1000000)</f>
        <v>2.1031466666666665E-2</v>
      </c>
      <c r="D23" s="46">
        <f>F23+G23+I23+K23+M23+O23+Q23</f>
        <v>1577360</v>
      </c>
      <c r="E23" s="47">
        <f>D23/D$34</f>
        <v>1.6278224974200207E-2</v>
      </c>
      <c r="F23" s="48">
        <v>413462</v>
      </c>
      <c r="G23" s="8">
        <v>266283</v>
      </c>
      <c r="H23" s="12">
        <f>G23/G$37/1000000</f>
        <v>1.8858569405099151E-2</v>
      </c>
      <c r="I23" s="48">
        <v>242000</v>
      </c>
      <c r="J23" s="12">
        <f>I23/I$37/1000000</f>
        <v>1.5592783505154639E-2</v>
      </c>
      <c r="K23" s="48">
        <v>164287</v>
      </c>
      <c r="L23" s="12">
        <f>K23/K$37/1000000</f>
        <v>1.4461883802816903E-2</v>
      </c>
      <c r="M23" s="48">
        <v>271821</v>
      </c>
      <c r="N23" s="12">
        <f>M23/M$37/1000000</f>
        <v>2.5403831775700936E-2</v>
      </c>
      <c r="O23" s="48">
        <v>121445</v>
      </c>
      <c r="P23" s="12">
        <f>O23/O$37/1000000</f>
        <v>2.3490328820116053E-2</v>
      </c>
      <c r="Q23" s="48">
        <v>98062</v>
      </c>
      <c r="R23" s="12">
        <f>Q23/Q$37/1000000</f>
        <v>3.7571647509578546E-2</v>
      </c>
      <c r="S23" s="41" t="s">
        <v>63</v>
      </c>
      <c r="T23" s="41"/>
      <c r="U23" s="41"/>
      <c r="V23" s="41"/>
      <c r="W23" s="41"/>
      <c r="X23" s="41"/>
      <c r="Y23" s="41"/>
      <c r="Z23" s="41"/>
      <c r="AA23" s="41"/>
      <c r="AB23" s="41"/>
      <c r="AC23" s="41"/>
      <c r="AD23" s="41"/>
      <c r="AE23" s="41"/>
      <c r="AF23" s="41"/>
      <c r="AG23" s="41"/>
      <c r="AH23" s="41"/>
      <c r="AI23" s="41"/>
      <c r="AJ23" s="41"/>
    </row>
    <row r="24" spans="1:36">
      <c r="A24" s="33" t="s">
        <v>64</v>
      </c>
      <c r="B24" s="52">
        <f t="shared" si="18"/>
        <v>0.17102735999999996</v>
      </c>
      <c r="C24" s="52">
        <f>D24/(D$37*1000000)</f>
        <v>0.15002399999999999</v>
      </c>
      <c r="D24" s="10">
        <f t="shared" ref="D24" si="19">F24+G24+I24+K24+M24+O24+Q24</f>
        <v>11251800</v>
      </c>
      <c r="E24" s="65">
        <f>D24/D$34</f>
        <v>0.11611764705882353</v>
      </c>
      <c r="F24" s="54">
        <v>2328480</v>
      </c>
      <c r="G24" s="11">
        <v>2116800</v>
      </c>
      <c r="H24" s="55">
        <f>G24/G$37/1000000</f>
        <v>0.14991501416430597</v>
      </c>
      <c r="I24" s="54">
        <v>2328480</v>
      </c>
      <c r="J24" s="55">
        <f>I24/I$37/1000000</f>
        <v>0.15003092783505156</v>
      </c>
      <c r="K24" s="54">
        <v>1703520</v>
      </c>
      <c r="L24" s="55">
        <f>K24/K$37/1000000</f>
        <v>0.14995774647887325</v>
      </c>
      <c r="M24" s="54">
        <v>1605240</v>
      </c>
      <c r="N24" s="55">
        <f>M24/M$37/1000000</f>
        <v>0.15002242990654208</v>
      </c>
      <c r="O24" s="54">
        <v>776160</v>
      </c>
      <c r="P24" s="55">
        <f>O24/O$37/1000000</f>
        <v>0.15012765957446811</v>
      </c>
      <c r="Q24" s="54">
        <v>393120</v>
      </c>
      <c r="R24" s="55">
        <f>Q24/Q$37/1000000</f>
        <v>0.15062068965517245</v>
      </c>
      <c r="S24" s="41" t="s">
        <v>65</v>
      </c>
      <c r="T24" s="41"/>
      <c r="U24" s="41"/>
      <c r="V24" s="41"/>
      <c r="W24" s="41"/>
      <c r="X24" s="41"/>
      <c r="Y24" s="41"/>
      <c r="Z24" s="41"/>
      <c r="AA24" s="41"/>
      <c r="AB24" s="41"/>
      <c r="AC24" s="41"/>
      <c r="AD24" s="41"/>
      <c r="AE24" s="41"/>
      <c r="AF24" s="41"/>
      <c r="AG24" s="41"/>
      <c r="AH24" s="41"/>
      <c r="AI24" s="41"/>
      <c r="AJ24" s="41"/>
    </row>
    <row r="25" spans="1:36">
      <c r="A25" s="31" t="s">
        <v>66</v>
      </c>
      <c r="B25" s="56">
        <f t="shared" si="18"/>
        <v>0.19500323199999997</v>
      </c>
      <c r="C25" s="56">
        <f>D25/(D$37*1000000)</f>
        <v>0.17105546666666666</v>
      </c>
      <c r="D25" s="46">
        <f>F25+G25+I25+K25+M25+O25+Q25</f>
        <v>12829160</v>
      </c>
      <c r="E25" s="57">
        <f>D25/D$34</f>
        <v>0.13239587203302375</v>
      </c>
      <c r="F25" s="58">
        <f>SUM(F23:F24)</f>
        <v>2741942</v>
      </c>
      <c r="G25" s="7">
        <f>SUM(G23:G24)</f>
        <v>2383083</v>
      </c>
      <c r="H25" s="12">
        <f>G25/G$37/1000000</f>
        <v>0.16877358356940511</v>
      </c>
      <c r="I25" s="58">
        <f>SUM(I23:I24)</f>
        <v>2570480</v>
      </c>
      <c r="J25" s="12">
        <f>I25/I$37/1000000</f>
        <v>0.16562371134020618</v>
      </c>
      <c r="K25" s="58">
        <f>SUM(K23:K24)</f>
        <v>1867807</v>
      </c>
      <c r="L25" s="12">
        <f>K25/K$37/1000000</f>
        <v>0.16441963028169015</v>
      </c>
      <c r="M25" s="58">
        <f>SUM(M23:M24)</f>
        <v>1877061</v>
      </c>
      <c r="N25" s="12">
        <f>M25/M$37/1000000</f>
        <v>0.17542626168224301</v>
      </c>
      <c r="O25" s="58">
        <f>SUM(O23:O24)</f>
        <v>897605</v>
      </c>
      <c r="P25" s="12">
        <f>O25/O$37/1000000</f>
        <v>0.17361798839458412</v>
      </c>
      <c r="Q25" s="58">
        <f>SUM(Q23:Q24)</f>
        <v>491182</v>
      </c>
      <c r="R25" s="12">
        <f>Q25/Q$37/1000000</f>
        <v>0.18819233716475095</v>
      </c>
      <c r="S25" s="41"/>
      <c r="T25" s="41"/>
      <c r="U25" s="41"/>
      <c r="V25" s="41"/>
      <c r="W25" s="41"/>
      <c r="X25" s="41"/>
      <c r="Y25" s="41"/>
      <c r="Z25" s="41"/>
      <c r="AA25" s="41"/>
      <c r="AB25" s="41"/>
      <c r="AC25" s="41"/>
      <c r="AD25" s="41"/>
      <c r="AE25" s="41"/>
      <c r="AF25" s="41"/>
      <c r="AG25" s="41"/>
      <c r="AH25" s="41"/>
      <c r="AI25" s="41"/>
      <c r="AJ25" s="41"/>
    </row>
    <row r="26" spans="1:36">
      <c r="A26" s="31"/>
      <c r="B26" s="56"/>
      <c r="C26" s="56"/>
      <c r="D26" s="46"/>
      <c r="E26" s="57"/>
      <c r="F26" s="58"/>
      <c r="G26" s="7"/>
      <c r="H26" s="12"/>
      <c r="I26" s="58"/>
      <c r="J26" s="12"/>
      <c r="K26" s="58"/>
      <c r="L26" s="12"/>
      <c r="M26" s="58"/>
      <c r="N26" s="12"/>
      <c r="O26" s="58"/>
      <c r="P26" s="12"/>
      <c r="Q26" s="58"/>
      <c r="R26" s="12"/>
      <c r="S26" s="41"/>
      <c r="T26" s="41"/>
      <c r="U26" s="41"/>
      <c r="V26" s="41"/>
      <c r="W26" s="41"/>
      <c r="X26" s="41"/>
      <c r="Y26" s="41"/>
      <c r="Z26" s="41"/>
      <c r="AA26" s="41"/>
      <c r="AB26" s="41"/>
      <c r="AC26" s="41"/>
      <c r="AD26" s="41"/>
      <c r="AE26" s="41"/>
      <c r="AF26" s="41"/>
      <c r="AG26" s="41"/>
      <c r="AH26" s="41"/>
      <c r="AI26" s="41"/>
      <c r="AJ26" s="41"/>
    </row>
    <row r="27" spans="1:36">
      <c r="A27" s="31" t="s">
        <v>67</v>
      </c>
      <c r="B27" s="45"/>
      <c r="C27" s="40"/>
      <c r="D27" s="59"/>
      <c r="E27" s="40"/>
      <c r="F27" s="48"/>
      <c r="G27" s="8"/>
      <c r="H27" s="9">
        <f>G27/G$37</f>
        <v>0</v>
      </c>
      <c r="I27" s="48"/>
      <c r="J27" s="9">
        <f>I27/I$37</f>
        <v>0</v>
      </c>
      <c r="K27" s="48"/>
      <c r="L27" s="9">
        <f>K27/K$37</f>
        <v>0</v>
      </c>
      <c r="M27" s="48"/>
      <c r="N27" s="9">
        <f>M27/M$37</f>
        <v>0</v>
      </c>
      <c r="O27" s="48"/>
      <c r="P27" s="9">
        <f>O27/O$37</f>
        <v>0</v>
      </c>
      <c r="Q27" s="48"/>
      <c r="R27" s="9">
        <f>Q27/Q$37</f>
        <v>0</v>
      </c>
      <c r="S27" s="41"/>
      <c r="T27" s="41"/>
      <c r="U27" s="41"/>
      <c r="V27" s="41"/>
      <c r="W27" s="41"/>
      <c r="X27" s="41"/>
      <c r="Y27" s="41"/>
      <c r="Z27" s="41"/>
      <c r="AA27" s="41"/>
      <c r="AB27" s="41"/>
      <c r="AC27" s="41"/>
      <c r="AD27" s="41"/>
      <c r="AE27" s="41"/>
      <c r="AF27" s="41"/>
      <c r="AG27" s="41"/>
      <c r="AH27" s="41"/>
      <c r="AI27" s="41"/>
      <c r="AJ27" s="41"/>
    </row>
    <row r="28" spans="1:36">
      <c r="A28" s="33" t="s">
        <v>68</v>
      </c>
      <c r="B28" s="45">
        <f t="shared" ref="B28:B32" si="20">C28*1.14</f>
        <v>1.10466E-2</v>
      </c>
      <c r="C28" s="45">
        <f>D28/(D$37*1000000)</f>
        <v>9.6900000000000007E-3</v>
      </c>
      <c r="D28" s="46">
        <f t="shared" ref="D28" si="21">F28+G28+I28+K28+M28+O28+Q28</f>
        <v>726750</v>
      </c>
      <c r="E28" s="47">
        <f>D28/D$34</f>
        <v>7.4999999999999997E-3</v>
      </c>
      <c r="F28" s="48">
        <v>135000</v>
      </c>
      <c r="G28" s="8">
        <v>121425</v>
      </c>
      <c r="H28" s="12">
        <f>G28/G$37/1000000</f>
        <v>8.599504249291786E-3</v>
      </c>
      <c r="I28" s="48">
        <v>137700</v>
      </c>
      <c r="J28" s="12">
        <f>I28/I$37/1000000</f>
        <v>8.8724226804123719E-3</v>
      </c>
      <c r="K28" s="48">
        <v>120600</v>
      </c>
      <c r="L28" s="12">
        <f>K28/K$37/1000000</f>
        <v>1.0616197183098591E-2</v>
      </c>
      <c r="M28" s="48">
        <v>113775</v>
      </c>
      <c r="N28" s="12">
        <f>M28/M$37/1000000</f>
        <v>1.0633177570093459E-2</v>
      </c>
      <c r="O28" s="48">
        <v>62250</v>
      </c>
      <c r="P28" s="12">
        <f>O28/O$37/1000000</f>
        <v>1.2040618955512573E-2</v>
      </c>
      <c r="Q28" s="48">
        <v>36000</v>
      </c>
      <c r="R28" s="12">
        <f>Q28/Q$37/1000000</f>
        <v>1.3793103448275862E-2</v>
      </c>
      <c r="S28" s="41" t="s">
        <v>69</v>
      </c>
      <c r="T28" s="41"/>
      <c r="U28" s="41"/>
      <c r="V28" s="41"/>
      <c r="W28" s="41"/>
      <c r="X28" s="41"/>
      <c r="Y28" s="41"/>
      <c r="Z28" s="41"/>
      <c r="AA28" s="41"/>
      <c r="AB28" s="41"/>
      <c r="AC28" s="41"/>
      <c r="AD28" s="41"/>
      <c r="AE28" s="41"/>
      <c r="AF28" s="41"/>
      <c r="AG28" s="41"/>
      <c r="AH28" s="41"/>
      <c r="AI28" s="41"/>
      <c r="AJ28" s="41"/>
    </row>
    <row r="29" spans="1:36">
      <c r="A29" s="33" t="s">
        <v>70</v>
      </c>
      <c r="B29" s="45">
        <f t="shared" si="20"/>
        <v>9.2479779199999987E-2</v>
      </c>
      <c r="C29" s="45">
        <f>D29/(D$37*1000000)</f>
        <v>8.1122613333333329E-2</v>
      </c>
      <c r="D29" s="46">
        <f t="shared" ref="D29:D30" si="22">F29+G29+I29+K29+M29+O29+Q29</f>
        <v>6084196</v>
      </c>
      <c r="E29" s="47">
        <f>D29/D$34</f>
        <v>6.2788400412796694E-2</v>
      </c>
      <c r="F29" s="48">
        <v>1132867</v>
      </c>
      <c r="G29" s="8">
        <v>1015917</v>
      </c>
      <c r="H29" s="12">
        <f>G29/G$37/1000000</f>
        <v>7.1948796033994344E-2</v>
      </c>
      <c r="I29" s="48">
        <v>1162903</v>
      </c>
      <c r="J29" s="12">
        <f>I29/I$37/1000000</f>
        <v>7.492931701030929E-2</v>
      </c>
      <c r="K29" s="48">
        <v>1017575</v>
      </c>
      <c r="L29" s="12">
        <f>K29/K$37/1000000</f>
        <v>8.9575264084507042E-2</v>
      </c>
      <c r="M29" s="48">
        <v>941263</v>
      </c>
      <c r="N29" s="12">
        <f>M29/M$37/1000000</f>
        <v>8.7968504672897213E-2</v>
      </c>
      <c r="O29" s="48">
        <v>517400</v>
      </c>
      <c r="P29" s="12">
        <f>O29/O$37/1000000</f>
        <v>0.10007736943907157</v>
      </c>
      <c r="Q29" s="48">
        <v>296271</v>
      </c>
      <c r="R29" s="12">
        <f>Q29/Q$37/1000000</f>
        <v>0.11351379310344828</v>
      </c>
      <c r="S29" s="41" t="s">
        <v>71</v>
      </c>
      <c r="T29" s="41"/>
      <c r="U29" s="41"/>
      <c r="V29" s="41"/>
      <c r="W29" s="41"/>
      <c r="X29" s="41"/>
      <c r="Y29" s="41"/>
      <c r="Z29" s="41"/>
      <c r="AA29" s="41"/>
      <c r="AB29" s="41"/>
      <c r="AC29" s="41"/>
      <c r="AD29" s="41"/>
      <c r="AE29" s="41"/>
      <c r="AF29" s="41"/>
      <c r="AG29" s="41"/>
      <c r="AH29" s="41"/>
      <c r="AI29" s="41"/>
      <c r="AJ29" s="41"/>
    </row>
    <row r="30" spans="1:36">
      <c r="A30" s="33" t="s">
        <v>72</v>
      </c>
      <c r="B30" s="45">
        <f t="shared" si="20"/>
        <v>2.1356729599999999E-2</v>
      </c>
      <c r="C30" s="45">
        <f>D30/(D$37*1000000)</f>
        <v>1.8733973333333334E-2</v>
      </c>
      <c r="D30" s="46">
        <f t="shared" si="22"/>
        <v>1405048</v>
      </c>
      <c r="E30" s="47">
        <f>D30/D$34</f>
        <v>1.4499979360165118E-2</v>
      </c>
      <c r="F30" s="48">
        <v>337315</v>
      </c>
      <c r="G30" s="8">
        <v>322261</v>
      </c>
      <c r="H30" s="12">
        <f>G30/G$37/1000000</f>
        <v>2.2823016997167139E-2</v>
      </c>
      <c r="I30" s="48">
        <v>129345</v>
      </c>
      <c r="J30" s="12">
        <f>I30/I$37/1000000</f>
        <v>8.3340850515463919E-3</v>
      </c>
      <c r="K30" s="48">
        <v>140034</v>
      </c>
      <c r="L30" s="12">
        <f>K30/K$37/1000000</f>
        <v>1.232693661971831E-2</v>
      </c>
      <c r="M30" s="48">
        <v>302916</v>
      </c>
      <c r="N30" s="12">
        <f>M30/M$37/1000000</f>
        <v>2.8309906542056076E-2</v>
      </c>
      <c r="O30" s="48">
        <v>99103</v>
      </c>
      <c r="P30" s="12">
        <f>O30/O$37/1000000</f>
        <v>1.9168858800773694E-2</v>
      </c>
      <c r="Q30" s="48">
        <v>74074</v>
      </c>
      <c r="R30" s="12">
        <f>Q30/Q$37/1000000</f>
        <v>2.8380842911877396E-2</v>
      </c>
      <c r="S30" s="41" t="s">
        <v>73</v>
      </c>
      <c r="T30" s="41"/>
      <c r="U30" s="41"/>
      <c r="V30" s="41"/>
      <c r="W30" s="41"/>
      <c r="X30" s="41"/>
      <c r="Y30" s="41"/>
      <c r="Z30" s="41"/>
      <c r="AA30" s="41"/>
      <c r="AB30" s="41"/>
      <c r="AC30" s="41"/>
      <c r="AD30" s="41"/>
      <c r="AE30" s="41"/>
      <c r="AF30" s="41"/>
      <c r="AG30" s="41"/>
      <c r="AH30" s="41"/>
      <c r="AI30" s="41"/>
      <c r="AJ30" s="41"/>
    </row>
    <row r="31" spans="1:36">
      <c r="A31" s="33" t="s">
        <v>74</v>
      </c>
      <c r="B31" s="52">
        <f t="shared" si="20"/>
        <v>3.3226287999999993E-2</v>
      </c>
      <c r="C31" s="52">
        <f>D31/(D$37*1000000)</f>
        <v>2.9145866666666666E-2</v>
      </c>
      <c r="D31" s="10">
        <f t="shared" ref="D31" si="23">F31+G31+I31+K31+M31+O31+Q31</f>
        <v>2185940</v>
      </c>
      <c r="E31" s="65">
        <f>D31/D$34</f>
        <v>2.2558720330237359E-2</v>
      </c>
      <c r="F31" s="54">
        <v>423493</v>
      </c>
      <c r="G31" s="11">
        <v>361648</v>
      </c>
      <c r="H31" s="55">
        <f>G31/G$37/1000000</f>
        <v>2.5612464589235127E-2</v>
      </c>
      <c r="I31" s="54">
        <v>410121</v>
      </c>
      <c r="J31" s="55">
        <f>I31/I$37/1000000</f>
        <v>2.6425322164948455E-2</v>
      </c>
      <c r="K31" s="54">
        <v>359191</v>
      </c>
      <c r="L31" s="55">
        <f>K31/K$37/1000000</f>
        <v>3.161892605633803E-2</v>
      </c>
      <c r="M31" s="54">
        <v>338863</v>
      </c>
      <c r="N31" s="55">
        <f>M31/M$37/1000000</f>
        <v>3.1669439252336451E-2</v>
      </c>
      <c r="O31" s="54">
        <v>185403</v>
      </c>
      <c r="P31" s="55">
        <f>O31/O$37/1000000</f>
        <v>3.5861315280464219E-2</v>
      </c>
      <c r="Q31" s="54">
        <v>107221</v>
      </c>
      <c r="R31" s="55">
        <f>Q31/Q$37/1000000</f>
        <v>4.1080842911877399E-2</v>
      </c>
      <c r="S31" s="41" t="s">
        <v>75</v>
      </c>
      <c r="T31" s="41"/>
      <c r="U31" s="41"/>
      <c r="V31" s="41"/>
      <c r="W31" s="41"/>
      <c r="X31" s="41"/>
      <c r="Y31" s="41"/>
      <c r="Z31" s="41"/>
      <c r="AA31" s="41"/>
      <c r="AB31" s="41"/>
      <c r="AC31" s="41"/>
      <c r="AD31" s="41"/>
      <c r="AE31" s="41"/>
      <c r="AF31" s="41"/>
      <c r="AG31" s="41"/>
      <c r="AH31" s="41"/>
      <c r="AI31" s="41"/>
      <c r="AJ31" s="41"/>
    </row>
    <row r="32" spans="1:36">
      <c r="A32" s="31" t="s">
        <v>76</v>
      </c>
      <c r="B32" s="56">
        <f t="shared" si="20"/>
        <v>0.15810939679999997</v>
      </c>
      <c r="C32" s="56">
        <f>D32/(D$37*1000000)</f>
        <v>0.13869245333333333</v>
      </c>
      <c r="D32" s="46">
        <f>F32+G32+I32+K32+M32+O32+Q32</f>
        <v>10401934</v>
      </c>
      <c r="E32" s="57">
        <f>D32/D$34</f>
        <v>0.10734710010319917</v>
      </c>
      <c r="F32" s="58">
        <f>SUM(F28:F31)</f>
        <v>2028675</v>
      </c>
      <c r="G32" s="7">
        <f>SUM(G28:G31)</f>
        <v>1821251</v>
      </c>
      <c r="H32" s="12">
        <f>G32/G$37/1000000</f>
        <v>0.1289837818696884</v>
      </c>
      <c r="I32" s="58">
        <f>SUM(I28:I31)</f>
        <v>1840069</v>
      </c>
      <c r="J32" s="12">
        <f>I32/I$37/1000000</f>
        <v>0.11856114690721649</v>
      </c>
      <c r="K32" s="58">
        <f>SUM(K28:K31)</f>
        <v>1637400</v>
      </c>
      <c r="L32" s="12">
        <f>K32/K$37/1000000</f>
        <v>0.14413732394366199</v>
      </c>
      <c r="M32" s="58">
        <f>SUM(M28:M31)</f>
        <v>1696817</v>
      </c>
      <c r="N32" s="12">
        <f>M32/M$37/1000000</f>
        <v>0.15858102803738319</v>
      </c>
      <c r="O32" s="58">
        <f>SUM(O28:O31)</f>
        <v>864156</v>
      </c>
      <c r="P32" s="12">
        <f>O32/O$37/1000000</f>
        <v>0.16714816247582207</v>
      </c>
      <c r="Q32" s="58">
        <f>SUM(Q28:Q31)</f>
        <v>513566</v>
      </c>
      <c r="R32" s="12">
        <f>Q32/Q$37/1000000</f>
        <v>0.19676858237547892</v>
      </c>
      <c r="S32" s="41"/>
      <c r="T32" s="41"/>
      <c r="U32" s="41"/>
      <c r="V32" s="41"/>
      <c r="W32" s="41"/>
      <c r="X32" s="41"/>
      <c r="Y32" s="41"/>
      <c r="Z32" s="41"/>
      <c r="AA32" s="41"/>
      <c r="AB32" s="41"/>
      <c r="AC32" s="41"/>
      <c r="AD32" s="41"/>
      <c r="AE32" s="41"/>
      <c r="AF32" s="41"/>
      <c r="AG32" s="41"/>
      <c r="AH32" s="41"/>
      <c r="AI32" s="41"/>
      <c r="AJ32" s="41"/>
    </row>
    <row r="33" spans="1:36">
      <c r="A33" s="31"/>
      <c r="B33" s="56"/>
      <c r="C33" s="56"/>
      <c r="D33" s="46"/>
      <c r="E33" s="57"/>
      <c r="F33" s="58"/>
      <c r="G33" s="7"/>
      <c r="H33" s="12"/>
      <c r="I33" s="58"/>
      <c r="J33" s="12"/>
      <c r="K33" s="58"/>
      <c r="L33" s="12"/>
      <c r="M33" s="58"/>
      <c r="N33" s="12"/>
      <c r="O33" s="58"/>
      <c r="P33" s="12"/>
      <c r="Q33" s="58"/>
      <c r="R33" s="12"/>
      <c r="S33" s="41"/>
      <c r="T33" s="41"/>
      <c r="U33" s="41"/>
      <c r="V33" s="41"/>
      <c r="W33" s="41"/>
      <c r="X33" s="41"/>
      <c r="Y33" s="41"/>
      <c r="Z33" s="41"/>
      <c r="AA33" s="41"/>
      <c r="AB33" s="41"/>
      <c r="AC33" s="41"/>
      <c r="AD33" s="41"/>
      <c r="AE33" s="41"/>
      <c r="AF33" s="41"/>
      <c r="AG33" s="41"/>
      <c r="AH33" s="41"/>
      <c r="AI33" s="41"/>
      <c r="AJ33" s="41"/>
    </row>
    <row r="34" spans="1:36" s="30" customFormat="1" ht="15.75" thickBot="1">
      <c r="A34" s="31" t="s">
        <v>77</v>
      </c>
      <c r="B34" s="66">
        <f>C34*1.14</f>
        <v>1.47288</v>
      </c>
      <c r="C34" s="67">
        <f>D34/(D$37*1000000)</f>
        <v>1.292</v>
      </c>
      <c r="D34" s="68">
        <f>ROUND(F34+G34+I34+K34+M34+O34+Q34,-1)</f>
        <v>96900000</v>
      </c>
      <c r="E34" s="69">
        <v>1</v>
      </c>
      <c r="F34" s="70">
        <f>F11+F18+F25+F32</f>
        <v>18000000.372160003</v>
      </c>
      <c r="G34" s="70">
        <f>G11+G18+G25+G32</f>
        <v>16189999.605600001</v>
      </c>
      <c r="H34" s="71">
        <f>G34/G$37/1000000</f>
        <v>1.1466005386402267</v>
      </c>
      <c r="I34" s="70">
        <f>I11+I18+I25+I32</f>
        <v>18360000.087099999</v>
      </c>
      <c r="J34" s="71">
        <f>I34/I$37/1000000</f>
        <v>1.1829896963337629</v>
      </c>
      <c r="K34" s="70">
        <f>K11+K18+K25+K32</f>
        <v>16080000.088580001</v>
      </c>
      <c r="L34" s="71">
        <f>K34/K$37/1000000</f>
        <v>1.4154929655440143</v>
      </c>
      <c r="M34" s="70">
        <f>M11+M18+M25+M32</f>
        <v>15170000.365900001</v>
      </c>
      <c r="N34" s="71">
        <f>M34/M$37/1000000</f>
        <v>1.4177570435420561</v>
      </c>
      <c r="O34" s="70">
        <f>O11+O18+O25+O32</f>
        <v>8299999.6456000004</v>
      </c>
      <c r="P34" s="71">
        <f>O34/O$37/1000000</f>
        <v>1.6054157921856869</v>
      </c>
      <c r="Q34" s="70">
        <f>Q11+Q18+Q25+Q32</f>
        <v>4800000.2311199997</v>
      </c>
      <c r="R34" s="71">
        <f>Q34/Q$37/1000000</f>
        <v>1.8390805483218389</v>
      </c>
      <c r="S34" s="40" t="s">
        <v>78</v>
      </c>
      <c r="T34" s="40"/>
      <c r="U34" s="40"/>
      <c r="V34" s="40"/>
      <c r="W34" s="40"/>
      <c r="X34" s="40"/>
      <c r="Y34" s="40"/>
      <c r="Z34" s="40"/>
      <c r="AA34" s="40"/>
      <c r="AB34" s="40"/>
      <c r="AC34" s="40"/>
      <c r="AD34" s="40"/>
      <c r="AE34" s="40"/>
      <c r="AF34" s="40"/>
      <c r="AG34" s="40"/>
      <c r="AH34" s="40"/>
      <c r="AI34" s="40"/>
      <c r="AJ34" s="40"/>
    </row>
    <row r="35" spans="1:36" ht="15.75" thickTop="1">
      <c r="A35" s="33" t="s">
        <v>79</v>
      </c>
      <c r="B35" s="72">
        <f>E35*B34</f>
        <v>1.0282086208000001</v>
      </c>
      <c r="C35" s="12">
        <f>D35/D37/1000000</f>
        <v>0.90193738666666667</v>
      </c>
      <c r="D35" s="73">
        <f>F35+G35+I35+K35+M35+O35+Q35</f>
        <v>67645304</v>
      </c>
      <c r="E35" s="74">
        <f>D35/D34</f>
        <v>0.6980939525283798</v>
      </c>
      <c r="F35" s="75">
        <v>13735357</v>
      </c>
      <c r="G35" s="8">
        <v>11927262</v>
      </c>
      <c r="H35" s="76">
        <f>(F35+G35)/(F37+G37)/1000000</f>
        <v>0.86581035762483127</v>
      </c>
      <c r="I35" s="48">
        <v>13145080</v>
      </c>
      <c r="J35" s="12">
        <f>I35/I37/1000000</f>
        <v>0.84697680412371135</v>
      </c>
      <c r="K35" s="48">
        <v>10648503</v>
      </c>
      <c r="L35" s="12">
        <f>K35/K37/1000000</f>
        <v>0.937368221830986</v>
      </c>
      <c r="M35" s="48">
        <v>9605998</v>
      </c>
      <c r="N35" s="12">
        <f>M35/M37/1000000</f>
        <v>0.89775682242990662</v>
      </c>
      <c r="O35" s="48">
        <v>5431389</v>
      </c>
      <c r="P35" s="12">
        <f>O35/O37/1000000</f>
        <v>1.0505588007736943</v>
      </c>
      <c r="Q35" s="48">
        <v>3151715</v>
      </c>
      <c r="R35" s="12">
        <f>Q35/Q37/1000000</f>
        <v>1.2075536398467432</v>
      </c>
      <c r="S35" s="41" t="s">
        <v>80</v>
      </c>
      <c r="T35" s="41"/>
      <c r="U35" s="41"/>
      <c r="V35" s="41"/>
      <c r="W35" s="41"/>
      <c r="X35" s="41"/>
      <c r="Y35" s="41"/>
      <c r="Z35" s="41"/>
      <c r="AA35" s="41"/>
      <c r="AB35" s="41"/>
      <c r="AC35" s="41"/>
      <c r="AD35" s="41"/>
      <c r="AE35" s="41"/>
      <c r="AF35" s="41"/>
      <c r="AG35" s="41"/>
      <c r="AH35" s="41"/>
      <c r="AI35" s="41"/>
      <c r="AJ35" s="41"/>
    </row>
    <row r="36" spans="1:36">
      <c r="A36" s="33" t="s">
        <v>81</v>
      </c>
      <c r="B36" s="77">
        <f>E36*B34</f>
        <v>0.44467138522011213</v>
      </c>
      <c r="C36" s="78">
        <f>D36/D37/1000000</f>
        <v>0.39006261861413338</v>
      </c>
      <c r="D36" s="10">
        <f>F36+G36+I36+K36+M36+O36+Q36</f>
        <v>29254696.396060005</v>
      </c>
      <c r="E36" s="79">
        <f>D36/D34</f>
        <v>0.3019060515589268</v>
      </c>
      <c r="F36" s="54">
        <f>F34-F35</f>
        <v>4264643.3721600026</v>
      </c>
      <c r="G36" s="54">
        <f>G34-G35</f>
        <v>4262737.6056000013</v>
      </c>
      <c r="H36" s="80">
        <f>(F36+G36)/(F37+G37)/1000000</f>
        <v>0.28769841355465597</v>
      </c>
      <c r="I36" s="54">
        <f>I34-I35</f>
        <v>5214920.0870999992</v>
      </c>
      <c r="J36" s="55">
        <f>I36/I37/1000000</f>
        <v>0.33601289221005148</v>
      </c>
      <c r="K36" s="54">
        <f>K34-K35</f>
        <v>5431497.0885800011</v>
      </c>
      <c r="L36" s="55">
        <f>K36/K37/1000000</f>
        <v>0.47812474371302832</v>
      </c>
      <c r="M36" s="54">
        <f>M34-M35</f>
        <v>5564002.3659000006</v>
      </c>
      <c r="N36" s="55">
        <f>M36/M37/1000000</f>
        <v>0.52000022111214961</v>
      </c>
      <c r="O36" s="54">
        <f>O34-O35</f>
        <v>2868610.6456000004</v>
      </c>
      <c r="P36" s="55">
        <f>O36/O37/1000000</f>
        <v>0.5548569914119923</v>
      </c>
      <c r="Q36" s="54">
        <f>Q34-Q35</f>
        <v>1648285.2311199997</v>
      </c>
      <c r="R36" s="55">
        <f>Q36/Q37/1000000</f>
        <v>0.63152690847509563</v>
      </c>
      <c r="S36" s="41" t="s">
        <v>82</v>
      </c>
      <c r="T36" s="41"/>
      <c r="U36" s="41"/>
      <c r="V36" s="41"/>
      <c r="W36" s="41"/>
      <c r="X36" s="41"/>
      <c r="Y36" s="41"/>
      <c r="Z36" s="41"/>
      <c r="AA36" s="41"/>
      <c r="AB36" s="41"/>
      <c r="AC36" s="81"/>
      <c r="AD36" s="81"/>
      <c r="AE36" s="81"/>
      <c r="AF36" s="81"/>
      <c r="AG36" s="81"/>
      <c r="AH36" s="81"/>
      <c r="AI36" s="81"/>
      <c r="AJ36" s="81"/>
    </row>
    <row r="37" spans="1:36" s="1" customFormat="1">
      <c r="A37" s="31" t="s">
        <v>83</v>
      </c>
      <c r="B37" s="41"/>
      <c r="C37" s="41"/>
      <c r="D37" s="82">
        <f t="shared" ref="D37" si="24">SUM(F37:Q37)</f>
        <v>75</v>
      </c>
      <c r="E37" s="82"/>
      <c r="F37" s="82">
        <v>15.52</v>
      </c>
      <c r="G37" s="82">
        <v>14.12</v>
      </c>
      <c r="H37" s="82"/>
      <c r="I37" s="82">
        <f>15.52</f>
        <v>15.52</v>
      </c>
      <c r="J37" s="82"/>
      <c r="K37" s="82">
        <v>11.36</v>
      </c>
      <c r="L37" s="82"/>
      <c r="M37" s="82">
        <v>10.7</v>
      </c>
      <c r="N37" s="82"/>
      <c r="O37" s="82">
        <v>5.17</v>
      </c>
      <c r="P37" s="82"/>
      <c r="Q37" s="82">
        <v>2.61</v>
      </c>
      <c r="R37" s="83"/>
      <c r="S37" s="33"/>
      <c r="T37" s="33"/>
      <c r="U37" s="33"/>
      <c r="V37" s="33"/>
      <c r="W37" s="33"/>
      <c r="X37" s="33"/>
      <c r="Y37" s="33"/>
      <c r="Z37" s="33"/>
      <c r="AA37" s="33"/>
      <c r="AB37" s="33"/>
      <c r="AC37" s="33"/>
      <c r="AD37" s="33"/>
      <c r="AE37" s="33"/>
      <c r="AF37" s="33"/>
      <c r="AG37" s="33"/>
      <c r="AH37" s="33"/>
      <c r="AI37" s="33"/>
      <c r="AJ37" s="33"/>
    </row>
    <row r="38" spans="1:36" s="1" customFormat="1">
      <c r="A38" s="33"/>
      <c r="B38" s="33"/>
      <c r="C38" s="33"/>
      <c r="D38" s="136"/>
      <c r="E38" s="33"/>
      <c r="F38" s="136"/>
      <c r="G38" s="136"/>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row>
    <row r="39" spans="1:36" s="1" customFormat="1">
      <c r="A39" s="33"/>
      <c r="B39" s="33"/>
      <c r="C39" s="33"/>
      <c r="D39" s="84"/>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row>
    <row r="40" spans="1:36" s="1" customFormat="1">
      <c r="A40" s="33"/>
      <c r="B40" s="33"/>
      <c r="C40" s="33"/>
      <c r="D40" s="85"/>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row>
    <row r="41" spans="1:36" s="1" customForma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row>
    <row r="42" spans="1:36" s="1" customForma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row>
    <row r="43" spans="1:36" s="1" customForma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row>
    <row r="44" spans="1:36">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81"/>
      <c r="AF44" s="81"/>
      <c r="AG44" s="81"/>
      <c r="AH44" s="81"/>
      <c r="AI44" s="81"/>
      <c r="AJ44" s="81"/>
    </row>
    <row r="45" spans="1:36">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81"/>
      <c r="AF45" s="81"/>
      <c r="AG45" s="81"/>
      <c r="AH45" s="81"/>
      <c r="AI45" s="81"/>
      <c r="AJ45" s="81"/>
    </row>
    <row r="46" spans="1:36">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81"/>
      <c r="AF46" s="81"/>
      <c r="AG46" s="81"/>
      <c r="AH46" s="81"/>
      <c r="AI46" s="81"/>
      <c r="AJ46" s="81"/>
    </row>
    <row r="47" spans="1:36">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81"/>
      <c r="AF47" s="81"/>
      <c r="AG47" s="81"/>
      <c r="AH47" s="81"/>
      <c r="AI47" s="81"/>
      <c r="AJ47" s="81"/>
    </row>
    <row r="48" spans="1:36">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81"/>
      <c r="AF48" s="81"/>
      <c r="AG48" s="81"/>
      <c r="AH48" s="81"/>
      <c r="AI48" s="81"/>
      <c r="AJ48" s="81"/>
    </row>
    <row r="49" spans="1:36">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81"/>
      <c r="AF49" s="81"/>
      <c r="AG49" s="81"/>
      <c r="AH49" s="81"/>
      <c r="AI49" s="81"/>
      <c r="AJ49" s="81"/>
    </row>
    <row r="50" spans="1:36">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81"/>
      <c r="AF50" s="81"/>
      <c r="AG50" s="81"/>
      <c r="AH50" s="81"/>
      <c r="AI50" s="81"/>
      <c r="AJ50" s="81"/>
    </row>
    <row r="51" spans="1:36">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81"/>
      <c r="AF51" s="81"/>
      <c r="AG51" s="81"/>
      <c r="AH51" s="81"/>
      <c r="AI51" s="81"/>
      <c r="AJ51" s="81"/>
    </row>
    <row r="52" spans="1:36">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81"/>
      <c r="AF52" s="81"/>
      <c r="AG52" s="81"/>
      <c r="AH52" s="81"/>
      <c r="AI52" s="81"/>
      <c r="AJ52" s="81"/>
    </row>
    <row r="53" spans="1:36">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81"/>
      <c r="AF53" s="81"/>
      <c r="AG53" s="81"/>
      <c r="AH53" s="81"/>
      <c r="AI53" s="81"/>
      <c r="AJ53" s="81"/>
    </row>
    <row r="54" spans="1:36">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81"/>
      <c r="AF54" s="81"/>
      <c r="AG54" s="81"/>
      <c r="AH54" s="81"/>
      <c r="AI54" s="81"/>
      <c r="AJ54" s="81"/>
    </row>
  </sheetData>
  <mergeCells count="7">
    <mergeCell ref="O1:P1"/>
    <mergeCell ref="Q1:R1"/>
    <mergeCell ref="F3:G3"/>
    <mergeCell ref="F1:H1"/>
    <mergeCell ref="I1:J1"/>
    <mergeCell ref="K1:L1"/>
    <mergeCell ref="M1:N1"/>
  </mergeCells>
  <hyperlinks>
    <hyperlink ref="S5" r:id="rId1" display="https://www.solarpowereurope.org/insights/outlooks/eu-market-outlook-for-solar-power-2024-2028/detail" xr:uid="{C6D3C05D-4CD8-4DD5-9725-65D831E754A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AB7BF-069F-471D-A089-6BD7DFA0C192}">
  <dimension ref="A1:Q16"/>
  <sheetViews>
    <sheetView workbookViewId="0">
      <selection activeCell="M15" sqref="M15"/>
    </sheetView>
  </sheetViews>
  <sheetFormatPr defaultRowHeight="15"/>
  <cols>
    <col min="1" max="1" width="26" customWidth="1"/>
    <col min="2" max="2" width="11.5703125" bestFit="1" customWidth="1"/>
    <col min="3" max="3" width="13.28515625" bestFit="1" customWidth="1"/>
    <col min="4" max="4" width="12.7109375" customWidth="1"/>
    <col min="5" max="5" width="10.140625" customWidth="1"/>
    <col min="6" max="9" width="9.5703125" bestFit="1" customWidth="1"/>
  </cols>
  <sheetData>
    <row r="1" spans="1:17">
      <c r="A1" s="13" t="s">
        <v>84</v>
      </c>
      <c r="B1" s="14" t="s">
        <v>28</v>
      </c>
      <c r="C1" s="198" t="s">
        <v>6</v>
      </c>
      <c r="D1" s="198"/>
      <c r="E1" s="14" t="s">
        <v>7</v>
      </c>
      <c r="F1" s="14" t="s">
        <v>8</v>
      </c>
      <c r="G1" s="14" t="s">
        <v>9</v>
      </c>
      <c r="H1" s="14" t="s">
        <v>10</v>
      </c>
      <c r="I1" s="15" t="s">
        <v>29</v>
      </c>
    </row>
    <row r="2" spans="1:17">
      <c r="A2" s="16"/>
      <c r="B2" s="17"/>
      <c r="C2" s="17" t="s">
        <v>15</v>
      </c>
      <c r="D2" s="17" t="s">
        <v>16</v>
      </c>
      <c r="E2" s="17"/>
      <c r="F2" s="17"/>
      <c r="G2" s="17"/>
      <c r="H2" s="17"/>
      <c r="I2" s="18"/>
    </row>
    <row r="3" spans="1:17">
      <c r="A3" s="16" t="s">
        <v>85</v>
      </c>
      <c r="B3" s="19">
        <f>SUM(C3:I3)</f>
        <v>82662</v>
      </c>
      <c r="C3" s="20">
        <v>12219</v>
      </c>
      <c r="D3" s="20">
        <f>C3</f>
        <v>12219</v>
      </c>
      <c r="E3" s="20">
        <v>15045</v>
      </c>
      <c r="F3" s="20">
        <f>E3</f>
        <v>15045</v>
      </c>
      <c r="G3" s="20">
        <f>F3</f>
        <v>15045</v>
      </c>
      <c r="H3" s="20">
        <v>8074</v>
      </c>
      <c r="I3" s="21">
        <v>5015</v>
      </c>
    </row>
    <row r="4" spans="1:17">
      <c r="A4" s="24" t="s">
        <v>86</v>
      </c>
      <c r="B4" s="186">
        <f>(B14-B10)/B3</f>
        <v>259.02836844620259</v>
      </c>
      <c r="C4" s="186">
        <f t="shared" ref="C4:I4" si="0">(C14-C10)/C3</f>
        <v>264.43022686839822</v>
      </c>
      <c r="D4" s="186">
        <f t="shared" si="0"/>
        <v>264.43022686839822</v>
      </c>
      <c r="E4" s="186">
        <f t="shared" si="0"/>
        <v>268.93717118460256</v>
      </c>
      <c r="F4" s="186">
        <f t="shared" si="0"/>
        <v>249.83220441823497</v>
      </c>
      <c r="G4" s="186">
        <f t="shared" si="0"/>
        <v>252.06768298254207</v>
      </c>
      <c r="H4" s="186">
        <f t="shared" si="0"/>
        <v>249.87992559024042</v>
      </c>
      <c r="I4" s="186">
        <f t="shared" si="0"/>
        <v>266.17807430856402</v>
      </c>
    </row>
    <row r="5" spans="1:17">
      <c r="A5" s="16" t="s">
        <v>87</v>
      </c>
      <c r="B5" s="22"/>
      <c r="C5" s="22"/>
      <c r="D5" s="22"/>
      <c r="E5" s="22"/>
      <c r="F5" s="22"/>
      <c r="G5" s="22"/>
      <c r="H5" s="22"/>
      <c r="I5" s="23"/>
    </row>
    <row r="6" spans="1:17">
      <c r="A6" s="16" t="s">
        <v>88</v>
      </c>
      <c r="B6" s="19">
        <f>SUM(C6:I6)</f>
        <v>14393728.9925</v>
      </c>
      <c r="C6" s="20">
        <f>CapEx!F8</f>
        <v>2104844.9400000004</v>
      </c>
      <c r="D6" s="20">
        <f>CapEx!G8</f>
        <v>2104844.9400000004</v>
      </c>
      <c r="E6" s="20">
        <f>CapEx!I8</f>
        <v>2603650.0874999999</v>
      </c>
      <c r="F6" s="20">
        <f>CapEx!K8</f>
        <v>2627646.8624999998</v>
      </c>
      <c r="G6" s="20">
        <f>CapEx!M8</f>
        <v>2651643.6375000002</v>
      </c>
      <c r="H6" s="20">
        <f>CapEx!O8</f>
        <v>1429215.7000000002</v>
      </c>
      <c r="I6" s="21">
        <f>CapEx!Q8</f>
        <v>871882.82500000019</v>
      </c>
    </row>
    <row r="7" spans="1:17">
      <c r="A7" s="16" t="s">
        <v>89</v>
      </c>
      <c r="B7" s="19">
        <f>SUM(C7:I7)</f>
        <v>855953</v>
      </c>
      <c r="C7" s="20">
        <f>147339</f>
        <v>147339</v>
      </c>
      <c r="D7" s="20">
        <f>C7</f>
        <v>147339</v>
      </c>
      <c r="E7" s="20">
        <v>182256</v>
      </c>
      <c r="F7" s="20">
        <v>131382</v>
      </c>
      <c r="G7" s="20">
        <v>132582</v>
      </c>
      <c r="H7" s="20">
        <v>71461</v>
      </c>
      <c r="I7" s="20">
        <v>43594</v>
      </c>
    </row>
    <row r="8" spans="1:17">
      <c r="A8" s="16" t="s">
        <v>90</v>
      </c>
      <c r="B8" s="19">
        <f t="shared" ref="B8:B12" si="1">SUM(C8:I8)</f>
        <v>124999.99999999999</v>
      </c>
      <c r="C8" s="20">
        <f>125000*C3/$B3</f>
        <v>18477.35356028163</v>
      </c>
      <c r="D8" s="20">
        <f t="shared" ref="D8:I8" si="2">125000*D3/$B3</f>
        <v>18477.35356028163</v>
      </c>
      <c r="E8" s="20">
        <f t="shared" si="2"/>
        <v>22750.780285983885</v>
      </c>
      <c r="F8" s="20">
        <f t="shared" si="2"/>
        <v>22750.780285983885</v>
      </c>
      <c r="G8" s="20">
        <f t="shared" si="2"/>
        <v>22750.780285983885</v>
      </c>
      <c r="H8" s="20">
        <f t="shared" si="2"/>
        <v>12209.358592823788</v>
      </c>
      <c r="I8" s="20">
        <f t="shared" si="2"/>
        <v>7583.5934286612955</v>
      </c>
    </row>
    <row r="9" spans="1:17">
      <c r="A9" s="16" t="s">
        <v>91</v>
      </c>
      <c r="B9" s="19">
        <f t="shared" si="1"/>
        <v>3872707</v>
      </c>
      <c r="C9" s="20">
        <v>648292</v>
      </c>
      <c r="D9" s="20">
        <f>C9</f>
        <v>648292</v>
      </c>
      <c r="E9" s="20">
        <v>847296</v>
      </c>
      <c r="F9" s="20">
        <f>1148162/2</f>
        <v>574081</v>
      </c>
      <c r="G9" s="20">
        <f>1158696/2</f>
        <v>579348</v>
      </c>
      <c r="H9" s="20">
        <f>579348/2</f>
        <v>289674</v>
      </c>
      <c r="I9" s="21">
        <v>285724</v>
      </c>
    </row>
    <row r="10" spans="1:17">
      <c r="A10" s="16" t="s">
        <v>92</v>
      </c>
      <c r="B10" s="19">
        <f t="shared" si="1"/>
        <v>1443103</v>
      </c>
      <c r="C10" s="20"/>
      <c r="D10" s="20"/>
      <c r="E10" s="20"/>
      <c r="F10" s="20">
        <f>F9</f>
        <v>574081</v>
      </c>
      <c r="G10" s="20">
        <f>G9</f>
        <v>579348</v>
      </c>
      <c r="H10" s="20">
        <f>H9</f>
        <v>289674</v>
      </c>
      <c r="I10" s="21"/>
    </row>
    <row r="11" spans="1:17">
      <c r="A11" s="16" t="s">
        <v>93</v>
      </c>
      <c r="B11" s="19">
        <f t="shared" si="1"/>
        <v>300000</v>
      </c>
      <c r="C11" s="20">
        <f>300000*C3/$B3</f>
        <v>44345.648544675911</v>
      </c>
      <c r="D11" s="20">
        <f t="shared" ref="D11:I11" si="3">300000*D3/$B3</f>
        <v>44345.648544675911</v>
      </c>
      <c r="E11" s="20">
        <f t="shared" si="3"/>
        <v>54601.872686361326</v>
      </c>
      <c r="F11" s="20">
        <f t="shared" si="3"/>
        <v>54601.872686361326</v>
      </c>
      <c r="G11" s="20">
        <f t="shared" si="3"/>
        <v>54601.872686361326</v>
      </c>
      <c r="H11" s="20">
        <f t="shared" si="3"/>
        <v>29302.460622777093</v>
      </c>
      <c r="I11" s="20">
        <f t="shared" si="3"/>
        <v>18200.62422878711</v>
      </c>
    </row>
    <row r="12" spans="1:17">
      <c r="A12" s="16" t="s">
        <v>94</v>
      </c>
      <c r="B12" s="19">
        <f t="shared" si="1"/>
        <v>1864414</v>
      </c>
      <c r="C12" s="20">
        <v>267774</v>
      </c>
      <c r="D12" s="20">
        <f>C12</f>
        <v>267774</v>
      </c>
      <c r="E12" s="20">
        <v>335605</v>
      </c>
      <c r="F12" s="20">
        <v>348263</v>
      </c>
      <c r="G12" s="20">
        <v>351432</v>
      </c>
      <c r="H12" s="20">
        <v>185668</v>
      </c>
      <c r="I12" s="21">
        <v>107898</v>
      </c>
    </row>
    <row r="13" spans="1:17">
      <c r="A13" s="16"/>
      <c r="B13" s="19"/>
      <c r="C13" s="20"/>
      <c r="D13" s="20"/>
      <c r="E13" s="20"/>
      <c r="F13" s="20"/>
      <c r="G13" s="20"/>
      <c r="H13" s="20"/>
      <c r="I13" s="20"/>
    </row>
    <row r="14" spans="1:17">
      <c r="A14" s="27" t="s">
        <v>95</v>
      </c>
      <c r="B14" s="25">
        <f t="shared" ref="B14:I14" si="4">SUM(B6:B13)</f>
        <v>22854905.9925</v>
      </c>
      <c r="C14" s="28">
        <f t="shared" si="4"/>
        <v>3231072.942104958</v>
      </c>
      <c r="D14" s="28">
        <f t="shared" si="4"/>
        <v>3231072.942104958</v>
      </c>
      <c r="E14" s="28">
        <f t="shared" si="4"/>
        <v>4046159.7404723451</v>
      </c>
      <c r="F14" s="28">
        <f t="shared" si="4"/>
        <v>4332806.5154723451</v>
      </c>
      <c r="G14" s="28">
        <f t="shared" si="4"/>
        <v>4371706.2904723454</v>
      </c>
      <c r="H14" s="28">
        <f t="shared" si="4"/>
        <v>2307204.519215601</v>
      </c>
      <c r="I14" s="29">
        <f t="shared" si="4"/>
        <v>1334883.0426574487</v>
      </c>
    </row>
    <row r="15" spans="1:17">
      <c r="A15" s="16" t="s">
        <v>96</v>
      </c>
      <c r="B15" s="187"/>
      <c r="C15" s="188"/>
      <c r="D15" s="188"/>
      <c r="E15" s="188"/>
      <c r="F15" s="188"/>
      <c r="G15" s="188"/>
      <c r="H15" s="188"/>
      <c r="I15" s="188"/>
      <c r="K15" s="137"/>
      <c r="M15" s="137"/>
      <c r="N15" s="137"/>
      <c r="O15" s="137"/>
      <c r="P15" s="137">
        <f>CapEx!U36</f>
        <v>0</v>
      </c>
      <c r="Q15" s="137">
        <f>CapEx!V36</f>
        <v>0</v>
      </c>
    </row>
    <row r="16" spans="1:17">
      <c r="B16" s="138"/>
      <c r="C16" s="138"/>
      <c r="D16" s="138"/>
      <c r="E16" s="138"/>
      <c r="F16" s="138"/>
      <c r="G16" s="138"/>
      <c r="H16" s="138"/>
      <c r="I16" s="138"/>
    </row>
  </sheetData>
  <mergeCells count="1">
    <mergeCell ref="C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0C1C0-F1A3-4B6F-B41D-0D22ADFB30A9}">
  <dimension ref="A1:BN56"/>
  <sheetViews>
    <sheetView topLeftCell="A37" workbookViewId="0">
      <selection activeCell="C57" sqref="C57"/>
    </sheetView>
  </sheetViews>
  <sheetFormatPr defaultRowHeight="15"/>
  <cols>
    <col min="1" max="1" width="38" style="81" customWidth="1"/>
    <col min="2" max="2" width="8.28515625" style="81" customWidth="1"/>
    <col min="3" max="3" width="8.140625" style="81" customWidth="1"/>
    <col min="4" max="4" width="10" style="81" bestFit="1" customWidth="1"/>
    <col min="5" max="5" width="12.42578125" style="81" customWidth="1"/>
    <col min="6" max="10" width="11" style="81" bestFit="1" customWidth="1"/>
    <col min="11" max="11" width="10.7109375" style="81" customWidth="1"/>
    <col min="12" max="12" width="10" style="81" bestFit="1" customWidth="1"/>
    <col min="13" max="13" width="11.5703125" style="81" bestFit="1" customWidth="1"/>
    <col min="32" max="32" width="9.5703125" bestFit="1" customWidth="1"/>
  </cols>
  <sheetData>
    <row r="1" spans="1:66">
      <c r="A1" s="100" t="s">
        <v>97</v>
      </c>
      <c r="B1" s="199" t="s">
        <v>98</v>
      </c>
      <c r="C1" s="199"/>
      <c r="D1" s="101" t="s">
        <v>99</v>
      </c>
      <c r="E1" s="101" t="s">
        <v>28</v>
      </c>
      <c r="F1" s="199" t="s">
        <v>6</v>
      </c>
      <c r="G1" s="199"/>
      <c r="H1" s="101" t="s">
        <v>7</v>
      </c>
      <c r="I1" s="101" t="s">
        <v>8</v>
      </c>
      <c r="J1" s="101" t="s">
        <v>9</v>
      </c>
      <c r="K1" s="101" t="s">
        <v>10</v>
      </c>
      <c r="L1" s="101" t="s">
        <v>29</v>
      </c>
      <c r="M1" s="17"/>
      <c r="N1" s="111" t="s">
        <v>100</v>
      </c>
      <c r="O1" s="112"/>
      <c r="P1" s="112"/>
      <c r="Q1" s="112"/>
      <c r="R1" s="112"/>
      <c r="S1" s="112"/>
      <c r="T1" s="112"/>
      <c r="U1" s="112"/>
      <c r="V1" s="112"/>
      <c r="W1" s="112"/>
      <c r="X1" s="112"/>
      <c r="Y1" s="112"/>
      <c r="Z1" s="112"/>
      <c r="AA1" s="112"/>
      <c r="AB1" s="112"/>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row>
    <row r="2" spans="1:66">
      <c r="A2" s="102" t="s">
        <v>101</v>
      </c>
      <c r="B2" s="103" t="s">
        <v>102</v>
      </c>
      <c r="C2" s="103" t="s">
        <v>103</v>
      </c>
      <c r="D2" s="103"/>
      <c r="E2" s="17"/>
      <c r="F2" s="103" t="s">
        <v>15</v>
      </c>
      <c r="G2" s="103" t="s">
        <v>16</v>
      </c>
      <c r="H2" s="17"/>
      <c r="I2" s="17"/>
      <c r="J2" s="17"/>
      <c r="K2" s="17"/>
      <c r="L2" s="17"/>
      <c r="M2" s="17"/>
      <c r="N2" s="112"/>
      <c r="O2" s="112"/>
      <c r="P2" s="112"/>
      <c r="Q2" s="112"/>
      <c r="R2" s="112"/>
      <c r="S2" s="112"/>
      <c r="T2" s="112"/>
      <c r="U2" s="112"/>
      <c r="V2" s="112"/>
      <c r="W2" s="112"/>
      <c r="X2" s="112"/>
      <c r="Y2" s="112"/>
      <c r="Z2" s="112"/>
      <c r="AA2" s="112"/>
      <c r="AB2" s="112"/>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row>
    <row r="3" spans="1:66">
      <c r="A3" s="100"/>
      <c r="B3" s="103"/>
      <c r="C3" s="103"/>
      <c r="D3" s="103"/>
      <c r="E3" s="17"/>
      <c r="F3" s="103"/>
      <c r="G3" s="103"/>
      <c r="H3" s="17"/>
      <c r="I3" s="17"/>
      <c r="J3" s="17"/>
      <c r="K3" s="17"/>
      <c r="L3" s="17"/>
      <c r="M3" s="17"/>
      <c r="N3" s="112"/>
      <c r="O3" s="112"/>
      <c r="P3" s="112"/>
      <c r="Q3" s="112"/>
      <c r="R3" s="112"/>
      <c r="S3" s="112"/>
      <c r="T3" s="112"/>
      <c r="U3" s="112"/>
      <c r="V3" s="112"/>
      <c r="W3" s="112"/>
      <c r="X3" s="112"/>
      <c r="Y3" s="112"/>
      <c r="Z3" s="112"/>
      <c r="AA3" s="112"/>
      <c r="AB3" s="112"/>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row>
    <row r="4" spans="1:66">
      <c r="A4" s="100" t="s">
        <v>104</v>
      </c>
      <c r="B4" s="114"/>
      <c r="C4" s="114"/>
      <c r="D4" s="114"/>
      <c r="E4" s="92"/>
      <c r="F4" s="22"/>
      <c r="G4" s="92"/>
      <c r="H4" s="92"/>
      <c r="I4" s="92"/>
      <c r="J4" s="92"/>
      <c r="K4" s="92"/>
      <c r="L4" s="92"/>
      <c r="M4" s="92"/>
      <c r="N4" s="115"/>
      <c r="O4" s="115"/>
      <c r="P4" s="115"/>
      <c r="Q4" s="115"/>
      <c r="R4" s="115"/>
      <c r="S4" s="115"/>
      <c r="T4" s="115"/>
      <c r="U4" s="115"/>
      <c r="V4" s="115"/>
      <c r="W4" s="115"/>
      <c r="X4" s="115"/>
      <c r="Y4" s="115"/>
      <c r="Z4" s="115"/>
      <c r="AA4" s="115"/>
      <c r="AB4" s="115"/>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row>
    <row r="5" spans="1:66">
      <c r="A5" s="17" t="s">
        <v>105</v>
      </c>
      <c r="B5" s="116">
        <f t="shared" ref="B5:B13" si="0">C5*1.1</f>
        <v>1.0700799999999995</v>
      </c>
      <c r="C5" s="116">
        <f>(E5/25)/(CapEx!$D$37*1000)</f>
        <v>0.97279999999999944</v>
      </c>
      <c r="D5" s="104">
        <f t="shared" ref="D5:D13" si="1">E5/25</f>
        <v>72959.999999999956</v>
      </c>
      <c r="E5" s="105">
        <f t="shared" ref="E5:E12" si="2">SUM(F5:L5)</f>
        <v>1823999.9999999991</v>
      </c>
      <c r="F5" s="104">
        <v>383999.99999999901</v>
      </c>
      <c r="G5" s="104">
        <v>336000</v>
      </c>
      <c r="H5" s="104">
        <v>384000</v>
      </c>
      <c r="I5" s="104">
        <v>264000</v>
      </c>
      <c r="J5" s="104">
        <v>264000</v>
      </c>
      <c r="K5" s="104">
        <v>120000</v>
      </c>
      <c r="L5" s="104">
        <v>72000</v>
      </c>
      <c r="M5" s="117" t="s">
        <v>106</v>
      </c>
      <c r="N5" s="118"/>
      <c r="O5" s="118"/>
      <c r="P5" s="118"/>
      <c r="Q5" s="118"/>
      <c r="R5" s="118"/>
      <c r="S5" s="118"/>
      <c r="T5" s="118"/>
      <c r="U5" s="118"/>
      <c r="V5" s="118"/>
      <c r="W5" s="118"/>
      <c r="X5" s="118"/>
      <c r="Y5" s="115"/>
      <c r="Z5" s="115"/>
      <c r="AA5" s="115"/>
      <c r="AB5" s="115"/>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row>
    <row r="6" spans="1:66">
      <c r="A6" s="17" t="s">
        <v>107</v>
      </c>
      <c r="B6" s="116">
        <f t="shared" si="0"/>
        <v>1.0700799999999995</v>
      </c>
      <c r="C6" s="116">
        <f>(E6/25)/(CapEx!$D$37*1000)</f>
        <v>0.97279999999999944</v>
      </c>
      <c r="D6" s="104">
        <f t="shared" si="1"/>
        <v>72959.999999999956</v>
      </c>
      <c r="E6" s="105">
        <f t="shared" si="2"/>
        <v>1823999.9999999991</v>
      </c>
      <c r="F6" s="104">
        <v>383999.99999999901</v>
      </c>
      <c r="G6" s="104">
        <v>336000</v>
      </c>
      <c r="H6" s="104">
        <v>384000</v>
      </c>
      <c r="I6" s="104">
        <v>264000</v>
      </c>
      <c r="J6" s="104">
        <f t="shared" ref="J6:L6" si="3">J5</f>
        <v>264000</v>
      </c>
      <c r="K6" s="104">
        <f t="shared" si="3"/>
        <v>120000</v>
      </c>
      <c r="L6" s="104">
        <f t="shared" si="3"/>
        <v>72000</v>
      </c>
      <c r="M6" s="117" t="s">
        <v>108</v>
      </c>
      <c r="N6" s="119"/>
      <c r="O6" s="119"/>
      <c r="P6" s="119"/>
      <c r="Q6" s="119"/>
      <c r="R6" s="119"/>
      <c r="S6" s="119"/>
      <c r="T6" s="119"/>
      <c r="U6" s="119"/>
      <c r="V6" s="119"/>
      <c r="W6" s="119"/>
      <c r="X6" s="119"/>
      <c r="Y6" s="115"/>
      <c r="Z6" s="115"/>
      <c r="AA6" s="115"/>
      <c r="AB6" s="115"/>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row>
    <row r="7" spans="1:66">
      <c r="A7" s="17" t="s">
        <v>109</v>
      </c>
      <c r="B7" s="116">
        <f t="shared" ref="B7" si="4">C7*1.1</f>
        <v>7.6403356424442599</v>
      </c>
      <c r="C7" s="116">
        <f>(E7/25)/(CapEx!$D$37*1000)</f>
        <v>6.9457596749493264</v>
      </c>
      <c r="D7" s="104">
        <f t="shared" si="1"/>
        <v>520931.97562119947</v>
      </c>
      <c r="E7" s="105">
        <f t="shared" ref="E7" si="5">SUM(F7:L7)</f>
        <v>13023299.390529986</v>
      </c>
      <c r="F7" s="104">
        <v>2245962.8980800039</v>
      </c>
      <c r="G7" s="104">
        <v>2137459.2227999964</v>
      </c>
      <c r="H7" s="104">
        <v>2500942.7635499882</v>
      </c>
      <c r="I7" s="104">
        <v>2203341.100290006</v>
      </c>
      <c r="J7" s="104">
        <v>2171711.0629499848</v>
      </c>
      <c r="K7" s="104">
        <v>1123609.2428000022</v>
      </c>
      <c r="L7" s="104">
        <v>640273.10006000241</v>
      </c>
      <c r="M7" s="117"/>
      <c r="N7" s="119"/>
      <c r="O7" s="119"/>
      <c r="P7" s="119"/>
      <c r="Q7" s="119"/>
      <c r="R7" s="119"/>
      <c r="S7" s="119"/>
      <c r="T7" s="119"/>
      <c r="U7" s="119"/>
      <c r="V7" s="119"/>
      <c r="W7" s="119"/>
      <c r="X7" s="119"/>
      <c r="Y7" s="115"/>
      <c r="Z7" s="115"/>
      <c r="AA7" s="115"/>
      <c r="AB7" s="115"/>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row>
    <row r="8" spans="1:66">
      <c r="A8" s="17" t="s">
        <v>110</v>
      </c>
      <c r="B8" s="116">
        <f t="shared" si="0"/>
        <v>6.3332407566999906</v>
      </c>
      <c r="C8" s="116">
        <f>(E8/25)/(CapEx!$D$37*1000)</f>
        <v>5.7574915969999907</v>
      </c>
      <c r="D8" s="104">
        <f t="shared" si="1"/>
        <v>431811.86977499933</v>
      </c>
      <c r="E8" s="105">
        <f t="shared" si="2"/>
        <v>10795296.744374983</v>
      </c>
      <c r="F8" s="104">
        <v>1578633.7050000029</v>
      </c>
      <c r="G8" s="104">
        <v>1578633.7050000029</v>
      </c>
      <c r="H8" s="104">
        <v>1952737.5656249945</v>
      </c>
      <c r="I8" s="104">
        <v>1970735.146874995</v>
      </c>
      <c r="J8" s="104">
        <v>1988732.7281249869</v>
      </c>
      <c r="K8" s="104">
        <v>1071911.775000002</v>
      </c>
      <c r="L8" s="104">
        <v>653912.11874999793</v>
      </c>
      <c r="M8" s="117" t="s">
        <v>111</v>
      </c>
      <c r="N8" s="119"/>
      <c r="O8" s="119"/>
      <c r="P8" s="120" t="s">
        <v>112</v>
      </c>
      <c r="Q8" s="119"/>
      <c r="R8" s="119"/>
      <c r="S8" s="119"/>
      <c r="T8" s="119"/>
      <c r="U8" s="119"/>
      <c r="V8" s="119"/>
      <c r="W8" s="119"/>
      <c r="X8" s="119"/>
      <c r="Y8" s="115"/>
      <c r="Z8" s="115"/>
      <c r="AA8" s="115"/>
      <c r="AB8" s="115"/>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row>
    <row r="9" spans="1:66">
      <c r="A9" s="17" t="s">
        <v>113</v>
      </c>
      <c r="B9" s="116">
        <f t="shared" si="0"/>
        <v>0.13244</v>
      </c>
      <c r="C9" s="116">
        <f>(E9/25)/(CapEx!$D$37*1000)</f>
        <v>0.12039999999999999</v>
      </c>
      <c r="D9" s="104">
        <f t="shared" si="1"/>
        <v>9030</v>
      </c>
      <c r="E9" s="105">
        <f t="shared" si="2"/>
        <v>225750</v>
      </c>
      <c r="F9" s="104">
        <v>32250</v>
      </c>
      <c r="G9" s="104">
        <f t="shared" ref="G9" si="6">F9</f>
        <v>32250</v>
      </c>
      <c r="H9" s="104">
        <v>32250</v>
      </c>
      <c r="I9" s="104">
        <v>32250</v>
      </c>
      <c r="J9" s="104">
        <v>32250</v>
      </c>
      <c r="K9" s="104">
        <v>32250</v>
      </c>
      <c r="L9" s="104">
        <v>32250</v>
      </c>
      <c r="M9" s="117" t="s">
        <v>114</v>
      </c>
      <c r="N9" s="119"/>
      <c r="O9" s="119"/>
      <c r="P9" s="119"/>
      <c r="Q9" s="119"/>
      <c r="R9" s="119"/>
      <c r="S9" s="119"/>
      <c r="T9" s="119"/>
      <c r="U9" s="119"/>
      <c r="V9" s="119"/>
      <c r="W9" s="119"/>
      <c r="X9" s="119"/>
      <c r="Y9" s="115"/>
      <c r="Z9" s="115"/>
      <c r="AA9" s="115"/>
      <c r="AB9" s="115"/>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row>
    <row r="10" spans="1:66">
      <c r="A10" s="17" t="s">
        <v>115</v>
      </c>
      <c r="B10" s="116">
        <f t="shared" si="0"/>
        <v>0.18172000000000002</v>
      </c>
      <c r="C10" s="116">
        <f>(E10/25)/(CapEx!$D$37*1000)</f>
        <v>0.16520000000000001</v>
      </c>
      <c r="D10" s="104">
        <f t="shared" si="1"/>
        <v>12390</v>
      </c>
      <c r="E10" s="105">
        <f t="shared" si="2"/>
        <v>309750</v>
      </c>
      <c r="F10" s="104">
        <v>44250</v>
      </c>
      <c r="G10" s="104">
        <v>44250</v>
      </c>
      <c r="H10" s="104">
        <v>44250</v>
      </c>
      <c r="I10" s="104">
        <v>44250</v>
      </c>
      <c r="J10" s="104">
        <v>44250</v>
      </c>
      <c r="K10" s="104">
        <v>44250</v>
      </c>
      <c r="L10" s="104">
        <v>44250</v>
      </c>
      <c r="M10" s="117"/>
      <c r="N10" s="119"/>
      <c r="O10" s="119"/>
      <c r="P10" s="119"/>
      <c r="Q10" s="119"/>
      <c r="R10" s="119"/>
      <c r="S10" s="119"/>
      <c r="T10" s="119"/>
      <c r="U10" s="119"/>
      <c r="V10" s="119"/>
      <c r="W10" s="119"/>
      <c r="X10" s="119"/>
      <c r="Y10" s="115"/>
      <c r="Z10" s="115"/>
      <c r="AA10" s="115"/>
      <c r="AB10" s="115"/>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row>
    <row r="11" spans="1:66">
      <c r="A11" s="17" t="s">
        <v>116</v>
      </c>
      <c r="B11" s="116">
        <f t="shared" si="0"/>
        <v>13.72871984</v>
      </c>
      <c r="C11" s="116">
        <f>(E11/25)/(CapEx!$D$37*1000)</f>
        <v>12.480654399999999</v>
      </c>
      <c r="D11" s="104">
        <f t="shared" si="1"/>
        <v>936049.08</v>
      </c>
      <c r="E11" s="105">
        <f t="shared" si="2"/>
        <v>23401227</v>
      </c>
      <c r="F11" s="104">
        <v>5011894</v>
      </c>
      <c r="G11" s="104">
        <v>4855807</v>
      </c>
      <c r="H11" s="104">
        <v>4959549</v>
      </c>
      <c r="I11" s="104">
        <v>2612188</v>
      </c>
      <c r="J11" s="104">
        <v>2537520</v>
      </c>
      <c r="K11" s="104">
        <v>2167376</v>
      </c>
      <c r="L11" s="104">
        <v>1256893</v>
      </c>
      <c r="M11" s="117" t="s">
        <v>117</v>
      </c>
      <c r="N11" s="119"/>
      <c r="O11" s="119"/>
      <c r="P11" s="119"/>
      <c r="Q11" s="119"/>
      <c r="R11" s="119"/>
      <c r="S11" s="119"/>
      <c r="T11" s="119"/>
      <c r="U11" s="119"/>
      <c r="V11" s="119"/>
      <c r="W11" s="119"/>
      <c r="X11" s="119"/>
      <c r="Y11" s="115"/>
      <c r="Z11" s="115"/>
      <c r="AA11" s="115"/>
      <c r="AB11" s="115"/>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row>
    <row r="12" spans="1:66">
      <c r="A12" s="17" t="s">
        <v>118</v>
      </c>
      <c r="B12" s="121">
        <f t="shared" si="0"/>
        <v>4.4007040000000002</v>
      </c>
      <c r="C12" s="121">
        <f>(E12/25)/(CapEx!$D$37*1000)</f>
        <v>4.0006399999999998</v>
      </c>
      <c r="D12" s="26">
        <f t="shared" si="1"/>
        <v>300048</v>
      </c>
      <c r="E12" s="25">
        <f t="shared" si="2"/>
        <v>7501200</v>
      </c>
      <c r="F12" s="26">
        <v>1552320</v>
      </c>
      <c r="G12" s="26">
        <v>1411200</v>
      </c>
      <c r="H12" s="26">
        <v>1552320</v>
      </c>
      <c r="I12" s="26">
        <v>1135680</v>
      </c>
      <c r="J12" s="26">
        <v>1070160</v>
      </c>
      <c r="K12" s="26">
        <v>517440</v>
      </c>
      <c r="L12" s="26">
        <v>262080</v>
      </c>
      <c r="M12" s="117" t="s">
        <v>119</v>
      </c>
      <c r="N12" s="119"/>
      <c r="O12" s="119"/>
      <c r="P12" s="119"/>
      <c r="Q12" s="119"/>
      <c r="R12" s="119"/>
      <c r="S12" s="119"/>
      <c r="T12" s="119"/>
      <c r="U12" s="119"/>
      <c r="V12" s="119"/>
      <c r="W12" s="119"/>
      <c r="X12" s="119"/>
      <c r="Y12" s="115"/>
      <c r="Z12" s="115"/>
      <c r="AA12" s="115"/>
      <c r="AB12" s="115"/>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row>
    <row r="13" spans="1:66">
      <c r="A13" s="100" t="s">
        <v>120</v>
      </c>
      <c r="B13" s="122">
        <f t="shared" si="0"/>
        <v>34.557320239144246</v>
      </c>
      <c r="C13" s="122">
        <f>(E13/25)/(CapEx!$D$37*1000)</f>
        <v>31.415745671949313</v>
      </c>
      <c r="D13" s="105">
        <f t="shared" si="1"/>
        <v>2356180.9253961984</v>
      </c>
      <c r="E13" s="105">
        <f t="shared" ref="E13:L13" si="7">SUM(E5:E12)</f>
        <v>58904523.134904966</v>
      </c>
      <c r="F13" s="105">
        <f t="shared" si="7"/>
        <v>11233310.603080004</v>
      </c>
      <c r="G13" s="105">
        <f t="shared" si="7"/>
        <v>10731599.9278</v>
      </c>
      <c r="H13" s="105">
        <f t="shared" si="7"/>
        <v>11810049.329174982</v>
      </c>
      <c r="I13" s="105">
        <f t="shared" si="7"/>
        <v>8526444.2471650019</v>
      </c>
      <c r="J13" s="105">
        <f t="shared" si="7"/>
        <v>8372623.7910749717</v>
      </c>
      <c r="K13" s="105">
        <f t="shared" si="7"/>
        <v>5196837.0178000042</v>
      </c>
      <c r="L13" s="105">
        <f t="shared" si="7"/>
        <v>3033658.2188100005</v>
      </c>
      <c r="M13" s="117"/>
      <c r="N13" s="115"/>
      <c r="O13" s="115"/>
      <c r="P13" s="115"/>
      <c r="Q13" s="115"/>
      <c r="R13" s="115"/>
      <c r="S13" s="115"/>
      <c r="T13" s="115"/>
      <c r="U13" s="115"/>
      <c r="V13" s="115"/>
      <c r="W13" s="115"/>
      <c r="X13" s="115"/>
      <c r="Y13" s="115"/>
      <c r="Z13" s="115"/>
      <c r="AA13" s="115"/>
      <c r="AB13" s="115"/>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row>
    <row r="14" spans="1:66">
      <c r="A14" s="17"/>
      <c r="B14" s="116"/>
      <c r="C14" s="92"/>
      <c r="D14" s="92"/>
      <c r="E14" s="123"/>
      <c r="F14" s="104"/>
      <c r="G14" s="104"/>
      <c r="H14" s="104"/>
      <c r="I14" s="104"/>
      <c r="J14" s="104"/>
      <c r="K14" s="104"/>
      <c r="L14" s="104"/>
      <c r="M14" s="117"/>
      <c r="N14" s="92"/>
      <c r="O14" s="92"/>
      <c r="P14" s="92"/>
      <c r="Q14" s="92"/>
      <c r="R14" s="92"/>
      <c r="S14" s="92"/>
      <c r="T14" s="92"/>
      <c r="U14" s="92"/>
      <c r="V14" s="92"/>
      <c r="W14" s="92"/>
      <c r="X14" s="92"/>
      <c r="Y14" s="92"/>
      <c r="Z14" s="92"/>
      <c r="AA14" s="92"/>
      <c r="AB14" s="92"/>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row>
    <row r="15" spans="1:66">
      <c r="A15" s="100" t="s">
        <v>121</v>
      </c>
      <c r="B15" s="116"/>
      <c r="C15" s="114"/>
      <c r="D15" s="114"/>
      <c r="E15" s="104"/>
      <c r="F15" s="104"/>
      <c r="G15" s="104"/>
      <c r="H15" s="104"/>
      <c r="I15" s="104"/>
      <c r="J15" s="104"/>
      <c r="K15" s="104"/>
      <c r="L15" s="104"/>
      <c r="M15" s="117"/>
      <c r="N15" s="92"/>
      <c r="O15" s="92"/>
      <c r="P15" s="92"/>
      <c r="Q15" s="92"/>
      <c r="R15" s="92"/>
      <c r="S15" s="92"/>
      <c r="T15" s="92"/>
      <c r="U15" s="92"/>
      <c r="V15" s="92"/>
      <c r="W15" s="92"/>
      <c r="X15" s="92"/>
      <c r="Y15" s="92"/>
      <c r="Z15" s="92"/>
      <c r="AA15" s="92"/>
      <c r="AB15" s="92"/>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row>
    <row r="16" spans="1:66">
      <c r="A16" s="17" t="s">
        <v>122</v>
      </c>
      <c r="B16" s="116">
        <f>C16*1.1</f>
        <v>1.0802000000000007</v>
      </c>
      <c r="C16" s="116">
        <f>(E16/25)/(CapEx!$D$37*1000)</f>
        <v>0.98200000000000054</v>
      </c>
      <c r="D16" s="104">
        <f>E16/25</f>
        <v>73650.000000000044</v>
      </c>
      <c r="E16" s="105">
        <f>SUM(F16:L16)</f>
        <v>1841250.0000000009</v>
      </c>
      <c r="F16" s="104">
        <v>380525.00000000099</v>
      </c>
      <c r="G16" s="104">
        <v>346155</v>
      </c>
      <c r="H16" s="104">
        <v>380525</v>
      </c>
      <c r="I16" s="104">
        <v>279870</v>
      </c>
      <c r="J16" s="104">
        <v>262685</v>
      </c>
      <c r="K16" s="104">
        <v>127660</v>
      </c>
      <c r="L16" s="104">
        <v>63830</v>
      </c>
      <c r="M16" s="117" t="s">
        <v>123</v>
      </c>
      <c r="N16" s="92"/>
      <c r="O16" s="92"/>
      <c r="P16" s="92"/>
      <c r="Q16" s="92"/>
      <c r="R16" s="92"/>
      <c r="S16" s="92"/>
      <c r="T16" s="92"/>
      <c r="U16" s="92"/>
      <c r="V16" s="92"/>
      <c r="W16" s="92"/>
      <c r="X16" s="92"/>
      <c r="Y16" s="92"/>
      <c r="Z16" s="92"/>
      <c r="AA16" s="92"/>
      <c r="AB16" s="92"/>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row>
    <row r="17" spans="1:66">
      <c r="A17" s="17" t="s">
        <v>124</v>
      </c>
      <c r="B17" s="116">
        <f>C17*1.1</f>
        <v>0.12320000000000002</v>
      </c>
      <c r="C17" s="116">
        <f>(E17/25)/(CapEx!$D$37*1000)</f>
        <v>0.112</v>
      </c>
      <c r="D17" s="104">
        <f>E17/25</f>
        <v>8400</v>
      </c>
      <c r="E17" s="105">
        <f>SUM(F17:L17)</f>
        <v>210000</v>
      </c>
      <c r="F17" s="104">
        <v>30000</v>
      </c>
      <c r="G17" s="104">
        <f>F17</f>
        <v>30000</v>
      </c>
      <c r="H17" s="104">
        <v>30000</v>
      </c>
      <c r="I17" s="104">
        <v>30000</v>
      </c>
      <c r="J17" s="104">
        <v>30000</v>
      </c>
      <c r="K17" s="104">
        <v>30000</v>
      </c>
      <c r="L17" s="104">
        <v>30000</v>
      </c>
      <c r="M17" s="117" t="s">
        <v>125</v>
      </c>
      <c r="N17" s="92"/>
      <c r="O17" s="92"/>
      <c r="P17" s="92"/>
      <c r="Q17" s="92"/>
      <c r="R17" s="92"/>
      <c r="S17" s="92"/>
      <c r="T17" s="92"/>
      <c r="U17" s="92"/>
      <c r="V17" s="92"/>
      <c r="W17" s="92"/>
      <c r="X17" s="92"/>
      <c r="Y17" s="92"/>
      <c r="Z17" s="92"/>
      <c r="AA17" s="92"/>
      <c r="AB17" s="92"/>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row>
    <row r="18" spans="1:66">
      <c r="A18" s="17" t="s">
        <v>126</v>
      </c>
      <c r="B18" s="121">
        <f>C18*1.1</f>
        <v>7.3724194133333345</v>
      </c>
      <c r="C18" s="121">
        <f>(E18/25)/(CapEx!$D$37*1000)</f>
        <v>6.7021994666666673</v>
      </c>
      <c r="D18" s="26">
        <f>E18/25</f>
        <v>502664.96000000002</v>
      </c>
      <c r="E18" s="25">
        <f>SUM(F18:L18)</f>
        <v>12566624</v>
      </c>
      <c r="F18" s="26">
        <v>2155588</v>
      </c>
      <c r="G18" s="26">
        <v>2070049</v>
      </c>
      <c r="H18" s="26">
        <v>2230306</v>
      </c>
      <c r="I18" s="26">
        <v>2178155</v>
      </c>
      <c r="J18" s="26">
        <v>2001705</v>
      </c>
      <c r="K18" s="26">
        <v>1187017</v>
      </c>
      <c r="L18" s="26">
        <v>743804</v>
      </c>
      <c r="M18" s="117" t="s">
        <v>127</v>
      </c>
      <c r="N18" s="92"/>
      <c r="O18" s="92"/>
      <c r="P18" s="92"/>
      <c r="Q18" s="92"/>
      <c r="R18" s="92"/>
      <c r="S18" s="92"/>
      <c r="T18" s="92"/>
      <c r="U18" s="92"/>
      <c r="V18" s="92"/>
      <c r="W18" s="92"/>
      <c r="X18" s="92"/>
      <c r="Y18" s="92"/>
      <c r="Z18" s="92"/>
      <c r="AA18" s="92"/>
      <c r="AB18" s="92"/>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row>
    <row r="19" spans="1:66">
      <c r="A19" s="100" t="s">
        <v>128</v>
      </c>
      <c r="B19" s="122">
        <f>C19*1.1</f>
        <v>8.575819413333333</v>
      </c>
      <c r="C19" s="122">
        <f>(E19/25)/(CapEx!$D$37*1000)</f>
        <v>7.7961994666666659</v>
      </c>
      <c r="D19" s="105">
        <f>E19/25</f>
        <v>584714.96</v>
      </c>
      <c r="E19" s="105">
        <f t="shared" ref="E19:L19" si="8">SUM(E16:E18)</f>
        <v>14617874</v>
      </c>
      <c r="F19" s="105">
        <f t="shared" si="8"/>
        <v>2566113.0000000009</v>
      </c>
      <c r="G19" s="105">
        <f t="shared" si="8"/>
        <v>2446204</v>
      </c>
      <c r="H19" s="105">
        <f t="shared" si="8"/>
        <v>2640831</v>
      </c>
      <c r="I19" s="105">
        <f t="shared" si="8"/>
        <v>2488025</v>
      </c>
      <c r="J19" s="105">
        <f t="shared" si="8"/>
        <v>2294390</v>
      </c>
      <c r="K19" s="105">
        <f t="shared" si="8"/>
        <v>1344677</v>
      </c>
      <c r="L19" s="105">
        <f t="shared" si="8"/>
        <v>837634</v>
      </c>
      <c r="M19" s="117"/>
      <c r="N19" s="92"/>
      <c r="O19" s="92"/>
      <c r="P19" s="92"/>
      <c r="Q19" s="92"/>
      <c r="R19" s="92"/>
      <c r="S19" s="92"/>
      <c r="T19" s="92"/>
      <c r="U19" s="92"/>
      <c r="V19" s="92"/>
      <c r="W19" s="92"/>
      <c r="X19" s="92"/>
      <c r="Y19" s="92"/>
      <c r="Z19" s="92"/>
      <c r="AA19" s="92"/>
      <c r="AB19" s="92"/>
      <c r="AC19" s="124"/>
      <c r="AD19" s="124"/>
      <c r="AE19" s="124"/>
      <c r="AF19" s="125"/>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row>
    <row r="20" spans="1:66">
      <c r="A20" s="17"/>
      <c r="B20" s="116"/>
      <c r="C20" s="92"/>
      <c r="D20" s="92"/>
      <c r="E20" s="104"/>
      <c r="F20" s="104"/>
      <c r="G20" s="104"/>
      <c r="H20" s="104"/>
      <c r="I20" s="104"/>
      <c r="J20" s="104"/>
      <c r="K20" s="104"/>
      <c r="L20" s="104"/>
      <c r="M20" s="117"/>
      <c r="N20" s="92"/>
      <c r="O20" s="92"/>
      <c r="P20" s="92"/>
      <c r="Q20" s="92"/>
      <c r="R20" s="92"/>
      <c r="S20" s="92"/>
      <c r="T20" s="92"/>
      <c r="U20" s="92"/>
      <c r="V20" s="92"/>
      <c r="W20" s="92"/>
      <c r="X20" s="92"/>
      <c r="Y20" s="92"/>
      <c r="Z20" s="92"/>
      <c r="AA20" s="92"/>
      <c r="AB20" s="92"/>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row>
    <row r="21" spans="1:66">
      <c r="A21" s="100" t="s">
        <v>129</v>
      </c>
      <c r="B21" s="116"/>
      <c r="C21" s="114"/>
      <c r="D21" s="114"/>
      <c r="E21" s="104"/>
      <c r="F21" s="106"/>
      <c r="G21" s="104"/>
      <c r="H21" s="104"/>
      <c r="I21" s="104"/>
      <c r="J21" s="104"/>
      <c r="K21" s="104"/>
      <c r="L21" s="104"/>
      <c r="M21" s="117"/>
      <c r="N21" s="92"/>
      <c r="O21" s="92"/>
      <c r="P21" s="92"/>
      <c r="Q21" s="92"/>
      <c r="R21" s="92"/>
      <c r="S21" s="92"/>
      <c r="T21" s="92"/>
      <c r="U21" s="92"/>
      <c r="V21" s="92"/>
      <c r="W21" s="92"/>
      <c r="X21" s="92"/>
      <c r="Y21" s="92"/>
      <c r="Z21" s="92"/>
      <c r="AA21" s="92"/>
      <c r="AB21" s="92"/>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row>
    <row r="22" spans="1:66">
      <c r="A22" s="17" t="s">
        <v>130</v>
      </c>
      <c r="B22" s="116">
        <f t="shared" ref="B22:B31" si="9">C22*1.1</f>
        <v>3.5026249165782102</v>
      </c>
      <c r="C22" s="116">
        <f>(E22/25)/(CapEx!$D$37*1000)</f>
        <v>3.1842044696165543</v>
      </c>
      <c r="D22" s="104">
        <f t="shared" ref="D22:D31" si="10">E22/25</f>
        <v>238815.33522124158</v>
      </c>
      <c r="E22" s="105">
        <f t="shared" ref="E22:E30" si="11">SUM(F22:L22)</f>
        <v>5970383.3805310391</v>
      </c>
      <c r="F22" s="104">
        <v>1120809</v>
      </c>
      <c r="G22" s="104">
        <v>1003799</v>
      </c>
      <c r="H22" s="104">
        <v>1125217</v>
      </c>
      <c r="I22" s="104">
        <v>970143.38053103874</v>
      </c>
      <c r="J22" s="104">
        <v>928504</v>
      </c>
      <c r="K22" s="104">
        <v>516847</v>
      </c>
      <c r="L22" s="104">
        <v>305064</v>
      </c>
      <c r="M22" s="117" t="s">
        <v>131</v>
      </c>
      <c r="N22" s="92"/>
      <c r="O22" s="92"/>
      <c r="P22" s="92"/>
      <c r="Q22" s="92"/>
      <c r="R22" s="92"/>
      <c r="S22" s="92"/>
      <c r="T22" s="92"/>
      <c r="U22" s="92"/>
      <c r="V22" s="92"/>
      <c r="W22" s="92"/>
      <c r="X22" s="92"/>
      <c r="Y22" s="92"/>
      <c r="Z22" s="92"/>
      <c r="AA22" s="92"/>
      <c r="AB22" s="92"/>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row>
    <row r="23" spans="1:66">
      <c r="A23" s="17" t="s">
        <v>132</v>
      </c>
      <c r="B23" s="116">
        <f t="shared" si="9"/>
        <v>0.85107733333333291</v>
      </c>
      <c r="C23" s="116">
        <f>(E23/25)/(CapEx!$D$37*1000)</f>
        <v>0.77370666666666621</v>
      </c>
      <c r="D23" s="104">
        <f t="shared" si="10"/>
        <v>58027.999999999964</v>
      </c>
      <c r="E23" s="105">
        <f t="shared" si="11"/>
        <v>1450699.9999999991</v>
      </c>
      <c r="F23" s="104">
        <v>187500</v>
      </c>
      <c r="G23" s="104">
        <v>187500</v>
      </c>
      <c r="H23" s="104">
        <v>133200</v>
      </c>
      <c r="I23" s="104">
        <v>244999.99999999895</v>
      </c>
      <c r="J23" s="104">
        <v>232500</v>
      </c>
      <c r="K23" s="104">
        <v>232500</v>
      </c>
      <c r="L23" s="104">
        <v>232500</v>
      </c>
      <c r="M23" s="117" t="s">
        <v>133</v>
      </c>
      <c r="N23" s="92"/>
      <c r="O23" s="92"/>
      <c r="P23" s="92"/>
      <c r="Q23" s="92"/>
      <c r="R23" s="92"/>
      <c r="S23" s="92"/>
      <c r="T23" s="92"/>
      <c r="U23" s="92"/>
      <c r="V23" s="92"/>
      <c r="W23" s="92"/>
      <c r="X23" s="92"/>
      <c r="Y23" s="92"/>
      <c r="Z23" s="92"/>
      <c r="AA23" s="92"/>
      <c r="AB23" s="92"/>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row>
    <row r="24" spans="1:66">
      <c r="A24" s="17" t="s">
        <v>134</v>
      </c>
      <c r="B24" s="116">
        <f t="shared" si="9"/>
        <v>0.24640000000000004</v>
      </c>
      <c r="C24" s="116">
        <f>(E24/25)/(CapEx!$D$37*1000)</f>
        <v>0.224</v>
      </c>
      <c r="D24" s="104">
        <f t="shared" si="10"/>
        <v>16800</v>
      </c>
      <c r="E24" s="105">
        <f t="shared" si="11"/>
        <v>420000</v>
      </c>
      <c r="F24" s="104">
        <v>60000</v>
      </c>
      <c r="G24" s="104">
        <v>60000</v>
      </c>
      <c r="H24" s="104">
        <v>60000</v>
      </c>
      <c r="I24" s="104">
        <v>60000</v>
      </c>
      <c r="J24" s="104">
        <v>60000</v>
      </c>
      <c r="K24" s="104">
        <v>60000</v>
      </c>
      <c r="L24" s="104">
        <v>60000</v>
      </c>
      <c r="M24" s="117"/>
      <c r="N24" s="92"/>
      <c r="O24" s="92"/>
      <c r="P24" s="92"/>
      <c r="Q24" s="92"/>
      <c r="R24" s="92"/>
      <c r="S24" s="92"/>
      <c r="T24" s="92"/>
      <c r="U24" s="92"/>
      <c r="V24" s="92"/>
      <c r="W24" s="92"/>
      <c r="X24" s="92"/>
      <c r="Y24" s="92"/>
      <c r="Z24" s="92"/>
      <c r="AA24" s="92"/>
      <c r="AB24" s="92"/>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row>
    <row r="25" spans="1:66">
      <c r="A25" s="17" t="s">
        <v>135</v>
      </c>
      <c r="B25" s="116">
        <f t="shared" si="9"/>
        <v>3.2413333333333356</v>
      </c>
      <c r="C25" s="116">
        <f>(E25/25)/(CapEx!$D$37*1000)</f>
        <v>2.9466666666666685</v>
      </c>
      <c r="D25" s="104">
        <f t="shared" si="10"/>
        <v>221000.00000000015</v>
      </c>
      <c r="E25" s="105">
        <f t="shared" si="11"/>
        <v>5525000.0000000037</v>
      </c>
      <c r="F25" s="104">
        <v>992500.00000000431</v>
      </c>
      <c r="G25" s="104">
        <v>900000</v>
      </c>
      <c r="H25" s="104">
        <v>1045000.0000000047</v>
      </c>
      <c r="I25" s="104">
        <v>942499.99999999616</v>
      </c>
      <c r="J25" s="104">
        <v>870000</v>
      </c>
      <c r="K25" s="104">
        <v>489999.9999999979</v>
      </c>
      <c r="L25" s="104">
        <v>285000</v>
      </c>
      <c r="M25" s="126" t="s">
        <v>136</v>
      </c>
      <c r="N25" s="92"/>
      <c r="O25" s="92"/>
      <c r="P25" s="92"/>
      <c r="Q25" s="127" t="s">
        <v>137</v>
      </c>
      <c r="R25" s="92"/>
      <c r="S25" s="92"/>
      <c r="T25" s="92"/>
      <c r="U25" s="92"/>
      <c r="V25" s="92"/>
      <c r="W25" s="92"/>
      <c r="X25" s="92"/>
      <c r="Y25" s="92"/>
      <c r="Z25" s="92"/>
      <c r="AA25" s="92"/>
      <c r="AB25" s="92"/>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row>
    <row r="26" spans="1:66">
      <c r="A26" s="17" t="s">
        <v>138</v>
      </c>
      <c r="B26" s="116">
        <f t="shared" si="9"/>
        <v>0.11733333333333326</v>
      </c>
      <c r="C26" s="116">
        <f>(E26/25)/(CapEx!$D$37*1000)</f>
        <v>0.10666666666666659</v>
      </c>
      <c r="D26" s="104">
        <f t="shared" si="10"/>
        <v>7999.9999999999945</v>
      </c>
      <c r="E26" s="105">
        <f t="shared" si="11"/>
        <v>199999.99999999985</v>
      </c>
      <c r="F26" s="104">
        <v>37500</v>
      </c>
      <c r="G26" s="104">
        <v>37500</v>
      </c>
      <c r="H26" s="104">
        <v>37500</v>
      </c>
      <c r="I26" s="104">
        <v>37500</v>
      </c>
      <c r="J26" s="104">
        <v>24999.999999999924</v>
      </c>
      <c r="K26" s="104">
        <v>12499.999999999962</v>
      </c>
      <c r="L26" s="104">
        <v>12499.999999999962</v>
      </c>
      <c r="M26" s="117"/>
      <c r="N26" s="92"/>
      <c r="O26" s="92"/>
      <c r="P26" s="92"/>
      <c r="Q26" s="92"/>
      <c r="R26" s="92"/>
      <c r="S26" s="92"/>
      <c r="T26" s="92"/>
      <c r="U26" s="92"/>
      <c r="V26" s="92"/>
      <c r="W26" s="92"/>
      <c r="X26" s="92"/>
      <c r="Y26" s="92"/>
      <c r="Z26" s="92"/>
      <c r="AA26" s="92"/>
      <c r="AB26" s="92"/>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row>
    <row r="27" spans="1:66">
      <c r="A27" s="17" t="s">
        <v>139</v>
      </c>
      <c r="B27" s="116">
        <f t="shared" si="9"/>
        <v>8.989376</v>
      </c>
      <c r="C27" s="116">
        <f>(E27/25)/(CapEx!$D$37*1000)</f>
        <v>8.1721599999999999</v>
      </c>
      <c r="D27" s="104">
        <f t="shared" si="10"/>
        <v>612912</v>
      </c>
      <c r="E27" s="105">
        <f t="shared" si="11"/>
        <v>15322800</v>
      </c>
      <c r="F27" s="104">
        <v>4415700</v>
      </c>
      <c r="G27" s="104">
        <v>2556300</v>
      </c>
      <c r="H27" s="104">
        <v>2145000</v>
      </c>
      <c r="I27" s="104">
        <v>1860000</v>
      </c>
      <c r="J27" s="104">
        <v>2648100</v>
      </c>
      <c r="K27" s="104">
        <v>934500</v>
      </c>
      <c r="L27" s="104">
        <v>763200</v>
      </c>
      <c r="M27" s="128" t="s">
        <v>140</v>
      </c>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row>
    <row r="28" spans="1:66">
      <c r="A28" s="17" t="s">
        <v>141</v>
      </c>
      <c r="B28" s="116">
        <f t="shared" si="9"/>
        <v>2.173599999999996</v>
      </c>
      <c r="C28" s="116">
        <f>(E28/25)/(CapEx!$D$37*1000)</f>
        <v>1.9759999999999962</v>
      </c>
      <c r="D28" s="104">
        <f t="shared" si="10"/>
        <v>148199.99999999971</v>
      </c>
      <c r="E28" s="105">
        <f t="shared" si="11"/>
        <v>3704999.9999999925</v>
      </c>
      <c r="F28" s="104">
        <v>792499.99999999756</v>
      </c>
      <c r="G28" s="104">
        <v>702499.99999999872</v>
      </c>
      <c r="H28" s="104">
        <v>692500.00000000105</v>
      </c>
      <c r="I28" s="104">
        <v>549999.99999999837</v>
      </c>
      <c r="J28" s="104">
        <v>549999.99999999837</v>
      </c>
      <c r="K28" s="104">
        <v>267499.99999999901</v>
      </c>
      <c r="L28" s="104">
        <v>150000</v>
      </c>
      <c r="M28" s="129" t="s">
        <v>142</v>
      </c>
      <c r="N28" s="92"/>
      <c r="O28" s="92"/>
      <c r="P28" s="92"/>
      <c r="Q28" s="92"/>
      <c r="R28" s="92"/>
      <c r="S28" s="92"/>
      <c r="T28" s="92"/>
      <c r="U28" s="92"/>
      <c r="V28" s="92"/>
      <c r="W28" s="92"/>
      <c r="X28" s="92"/>
      <c r="Y28" s="92"/>
      <c r="Z28" s="92"/>
      <c r="AA28" s="92"/>
      <c r="AB28" s="92"/>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row>
    <row r="29" spans="1:66">
      <c r="A29" s="17" t="s">
        <v>143</v>
      </c>
      <c r="B29" s="116">
        <f t="shared" si="9"/>
        <v>0.11857999999999952</v>
      </c>
      <c r="C29" s="116">
        <f>(E29/25)/(CapEx!$D$37*1000)</f>
        <v>0.10779999999999955</v>
      </c>
      <c r="D29" s="104">
        <f t="shared" si="10"/>
        <v>8084.9999999999663</v>
      </c>
      <c r="E29" s="105">
        <f t="shared" si="11"/>
        <v>202124.99999999916</v>
      </c>
      <c r="F29" s="104">
        <v>32899.999999999825</v>
      </c>
      <c r="G29" s="104">
        <v>32899.999999999825</v>
      </c>
      <c r="H29" s="104">
        <v>32899.999999999825</v>
      </c>
      <c r="I29" s="104">
        <v>32899.999999999825</v>
      </c>
      <c r="J29" s="104">
        <v>29224.999999999847</v>
      </c>
      <c r="K29" s="104">
        <v>20650.000000000007</v>
      </c>
      <c r="L29" s="104">
        <v>20650.000000000007</v>
      </c>
      <c r="M29" s="117"/>
      <c r="N29" s="92"/>
      <c r="O29" s="92"/>
      <c r="P29" s="92"/>
      <c r="Q29" s="92"/>
      <c r="R29" s="92"/>
      <c r="S29" s="92"/>
      <c r="T29" s="92"/>
      <c r="U29" s="92"/>
      <c r="V29" s="92"/>
      <c r="W29" s="92"/>
      <c r="X29" s="92"/>
      <c r="Y29" s="92"/>
      <c r="Z29" s="92"/>
      <c r="AA29" s="92"/>
      <c r="AB29" s="92"/>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row>
    <row r="30" spans="1:66">
      <c r="A30" s="17" t="s">
        <v>144</v>
      </c>
      <c r="B30" s="121">
        <f t="shared" si="9"/>
        <v>0.1207359999999995</v>
      </c>
      <c r="C30" s="121">
        <f>(E30/25)/(CapEx!$D$37*1000)</f>
        <v>0.10975999999999954</v>
      </c>
      <c r="D30" s="26">
        <f t="shared" si="10"/>
        <v>8231.9999999999654</v>
      </c>
      <c r="E30" s="25">
        <f t="shared" si="11"/>
        <v>205799.99999999913</v>
      </c>
      <c r="F30" s="26">
        <v>32899.999999999825</v>
      </c>
      <c r="G30" s="26">
        <v>32899.999999999825</v>
      </c>
      <c r="H30" s="26">
        <v>32899.999999999825</v>
      </c>
      <c r="I30" s="26">
        <v>32899.999999999825</v>
      </c>
      <c r="J30" s="26">
        <v>32899.999999999825</v>
      </c>
      <c r="K30" s="26">
        <v>20650.000000000007</v>
      </c>
      <c r="L30" s="26">
        <v>20650.000000000007</v>
      </c>
      <c r="M30" s="117"/>
      <c r="N30" s="92"/>
      <c r="O30" s="92"/>
      <c r="P30" s="92"/>
      <c r="Q30" s="92"/>
      <c r="R30" s="92"/>
      <c r="S30" s="92"/>
      <c r="T30" s="92"/>
      <c r="U30" s="92"/>
      <c r="V30" s="92"/>
      <c r="W30" s="92"/>
      <c r="X30" s="92"/>
      <c r="Y30" s="92"/>
      <c r="Z30" s="92"/>
      <c r="AA30" s="92"/>
      <c r="AB30" s="92"/>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row>
    <row r="31" spans="1:66">
      <c r="A31" s="100" t="s">
        <v>145</v>
      </c>
      <c r="B31" s="122">
        <f t="shared" si="9"/>
        <v>19.361060916578211</v>
      </c>
      <c r="C31" s="122">
        <f>(E31/25)/(CapEx!$D$37*1000)</f>
        <v>17.600964469616553</v>
      </c>
      <c r="D31" s="105">
        <f t="shared" si="10"/>
        <v>1320072.3352212415</v>
      </c>
      <c r="E31" s="105">
        <f t="shared" ref="E31:L31" si="12">SUM(E22:E30)</f>
        <v>33001808.380531035</v>
      </c>
      <c r="F31" s="105">
        <f t="shared" si="12"/>
        <v>7672309.0000000009</v>
      </c>
      <c r="G31" s="105">
        <f t="shared" si="12"/>
        <v>5513398.9999999991</v>
      </c>
      <c r="H31" s="105">
        <f t="shared" si="12"/>
        <v>5304217.0000000056</v>
      </c>
      <c r="I31" s="105">
        <f t="shared" si="12"/>
        <v>4730943.3805310326</v>
      </c>
      <c r="J31" s="105">
        <f t="shared" si="12"/>
        <v>5376228.9999999981</v>
      </c>
      <c r="K31" s="105">
        <f t="shared" si="12"/>
        <v>2555146.9999999972</v>
      </c>
      <c r="L31" s="105">
        <f t="shared" si="12"/>
        <v>1849564</v>
      </c>
      <c r="M31" s="104"/>
      <c r="N31" s="92"/>
      <c r="O31" s="92"/>
      <c r="P31" s="92"/>
      <c r="Q31" s="92"/>
      <c r="R31" s="92"/>
      <c r="S31" s="92"/>
      <c r="T31" s="92"/>
      <c r="U31" s="92"/>
      <c r="V31" s="92"/>
      <c r="W31" s="92"/>
      <c r="X31" s="92"/>
      <c r="Y31" s="92"/>
      <c r="Z31" s="92"/>
      <c r="AA31" s="92"/>
      <c r="AB31" s="92"/>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row>
    <row r="32" spans="1:66">
      <c r="A32" s="17"/>
      <c r="B32" s="122"/>
      <c r="C32" s="92"/>
      <c r="D32" s="92"/>
      <c r="E32" s="104"/>
      <c r="F32" s="104"/>
      <c r="G32" s="104"/>
      <c r="H32" s="104"/>
      <c r="I32" s="104"/>
      <c r="J32" s="104"/>
      <c r="K32" s="104"/>
      <c r="L32" s="104"/>
      <c r="M32" s="104"/>
      <c r="N32" s="92"/>
      <c r="O32" s="92"/>
      <c r="P32" s="92"/>
      <c r="Q32" s="92"/>
      <c r="R32" s="92"/>
      <c r="S32" s="92"/>
      <c r="T32" s="92"/>
      <c r="U32" s="92"/>
      <c r="V32" s="92"/>
      <c r="W32" s="92"/>
      <c r="X32" s="92"/>
      <c r="Y32" s="92"/>
      <c r="Z32" s="92"/>
      <c r="AA32" s="92"/>
      <c r="AB32" s="92"/>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row>
    <row r="33" spans="1:66">
      <c r="A33" s="100" t="s">
        <v>146</v>
      </c>
      <c r="B33" s="184">
        <f>C33*1.1</f>
        <v>62.494200569055792</v>
      </c>
      <c r="C33" s="185">
        <f t="shared" ref="C33:L33" si="13">C13+C19+C31</f>
        <v>56.81290960823253</v>
      </c>
      <c r="D33" s="107">
        <f>E33/25</f>
        <v>4260968.2206174396</v>
      </c>
      <c r="E33" s="107">
        <f t="shared" si="13"/>
        <v>106524205.51543599</v>
      </c>
      <c r="F33" s="107">
        <f t="shared" si="13"/>
        <v>21471732.603080004</v>
      </c>
      <c r="G33" s="107">
        <f t="shared" si="13"/>
        <v>18691202.9278</v>
      </c>
      <c r="H33" s="107">
        <f t="shared" si="13"/>
        <v>19755097.329174988</v>
      </c>
      <c r="I33" s="107">
        <f t="shared" si="13"/>
        <v>15745412.627696034</v>
      </c>
      <c r="J33" s="107">
        <f t="shared" si="13"/>
        <v>16043242.791074971</v>
      </c>
      <c r="K33" s="107">
        <f t="shared" si="13"/>
        <v>9096661.0178000014</v>
      </c>
      <c r="L33" s="107">
        <f t="shared" si="13"/>
        <v>5720856.2188100005</v>
      </c>
      <c r="M33" s="104"/>
      <c r="N33" s="92"/>
      <c r="O33" s="92"/>
      <c r="P33" s="92"/>
      <c r="Q33" s="92"/>
      <c r="R33" s="92"/>
      <c r="S33" s="92"/>
      <c r="T33" s="92"/>
      <c r="U33" s="92"/>
      <c r="V33" s="92"/>
      <c r="W33" s="92"/>
      <c r="X33" s="92"/>
      <c r="Y33" s="92"/>
      <c r="Z33" s="92"/>
      <c r="AA33" s="92"/>
      <c r="AB33" s="92"/>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row>
    <row r="34" spans="1:66">
      <c r="A34" s="100"/>
      <c r="B34" s="122"/>
      <c r="C34" s="122"/>
      <c r="D34" s="122"/>
      <c r="E34" s="130"/>
      <c r="F34" s="19"/>
      <c r="G34" s="19"/>
      <c r="H34" s="19"/>
      <c r="I34" s="19"/>
      <c r="J34" s="19"/>
      <c r="K34" s="19"/>
      <c r="L34" s="19"/>
      <c r="M34" s="104"/>
      <c r="N34" s="92"/>
      <c r="O34" s="92"/>
      <c r="P34" s="92"/>
      <c r="Q34" s="92"/>
      <c r="R34" s="92"/>
      <c r="S34" s="92"/>
      <c r="T34" s="92"/>
      <c r="U34" s="92"/>
      <c r="V34" s="92"/>
      <c r="W34" s="92"/>
      <c r="X34" s="92"/>
      <c r="Y34" s="92"/>
      <c r="Z34" s="92"/>
      <c r="AA34" s="92"/>
      <c r="AB34" s="92"/>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row>
    <row r="35" spans="1:66">
      <c r="A35" s="100" t="s">
        <v>83</v>
      </c>
      <c r="B35" s="114" t="s">
        <v>147</v>
      </c>
      <c r="C35" s="114"/>
      <c r="D35" s="114"/>
      <c r="E35" s="108">
        <f t="shared" ref="E35" si="14">SUM(F35:L35)</f>
        <v>75</v>
      </c>
      <c r="F35" s="108">
        <f>CapEx!F37</f>
        <v>15.52</v>
      </c>
      <c r="G35" s="108">
        <f>CapEx!G37</f>
        <v>14.12</v>
      </c>
      <c r="H35" s="108">
        <f>CapEx!I37</f>
        <v>15.52</v>
      </c>
      <c r="I35" s="108">
        <f>CapEx!K37</f>
        <v>11.36</v>
      </c>
      <c r="J35" s="108">
        <f>CapEx!M37</f>
        <v>10.7</v>
      </c>
      <c r="K35" s="108">
        <f>CapEx!O37</f>
        <v>5.17</v>
      </c>
      <c r="L35" s="108">
        <f>CapEx!Q37</f>
        <v>2.61</v>
      </c>
      <c r="M35" s="92"/>
      <c r="N35" s="92"/>
      <c r="O35" s="92"/>
      <c r="P35" s="92"/>
      <c r="Q35" s="92"/>
      <c r="R35" s="92"/>
      <c r="S35" s="92"/>
      <c r="T35" s="92"/>
      <c r="U35" s="92"/>
      <c r="V35" s="92"/>
      <c r="W35" s="92"/>
      <c r="X35" s="92"/>
      <c r="Y35" s="92"/>
      <c r="Z35" s="92"/>
      <c r="AA35" s="92"/>
      <c r="AB35" s="92"/>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row>
    <row r="36" spans="1:66">
      <c r="A36" s="100" t="s">
        <v>3</v>
      </c>
      <c r="B36" s="114"/>
      <c r="C36" s="114"/>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row>
    <row r="37" spans="1:66">
      <c r="A37" s="17" t="s">
        <v>148</v>
      </c>
      <c r="B37" s="132">
        <f>B38/1.1</f>
        <v>52.290909090909089</v>
      </c>
      <c r="C37" s="109"/>
      <c r="D37" s="131"/>
      <c r="E37" s="132">
        <f>E33/35/(E$35*1000)</f>
        <v>40.580649720166093</v>
      </c>
      <c r="F37" s="109">
        <f>F33/35/(F$35*1000)</f>
        <v>39.528226441605305</v>
      </c>
      <c r="G37" s="109">
        <f t="shared" ref="G37:L37" si="15">G33/35/(G$35*1000)</f>
        <v>37.821130974908939</v>
      </c>
      <c r="H37" s="109">
        <f t="shared" si="15"/>
        <v>36.367999501426702</v>
      </c>
      <c r="I37" s="109">
        <f t="shared" si="15"/>
        <v>39.601138399637911</v>
      </c>
      <c r="J37" s="109">
        <f t="shared" si="15"/>
        <v>42.839099575634101</v>
      </c>
      <c r="K37" s="109">
        <f t="shared" si="15"/>
        <v>50.271682883669527</v>
      </c>
      <c r="L37" s="109">
        <f t="shared" si="15"/>
        <v>62.625683840284623</v>
      </c>
      <c r="M37" s="92"/>
      <c r="N37" s="92"/>
      <c r="O37" s="92"/>
      <c r="P37" s="92"/>
      <c r="Q37" s="92"/>
      <c r="R37" s="92"/>
      <c r="S37" s="92"/>
      <c r="T37" s="92"/>
      <c r="U37" s="92"/>
      <c r="V37" s="92"/>
      <c r="W37" s="92"/>
      <c r="X37" s="92"/>
      <c r="Y37" s="92"/>
      <c r="Z37" s="92"/>
      <c r="AA37" s="92"/>
      <c r="AB37" s="92"/>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row>
    <row r="38" spans="1:66">
      <c r="A38" s="17" t="s">
        <v>149</v>
      </c>
      <c r="B38" s="133">
        <v>57.52</v>
      </c>
      <c r="C38" s="110"/>
      <c r="D38" s="131"/>
      <c r="E38" s="133">
        <f t="shared" ref="E38:L38" si="16">1.1*E37</f>
        <v>44.63871469218271</v>
      </c>
      <c r="F38" s="133">
        <f t="shared" si="16"/>
        <v>43.481049085765839</v>
      </c>
      <c r="G38" s="133">
        <f t="shared" si="16"/>
        <v>41.603244072399839</v>
      </c>
      <c r="H38" s="133">
        <f t="shared" si="16"/>
        <v>40.004799451569376</v>
      </c>
      <c r="I38" s="133">
        <f t="shared" si="16"/>
        <v>43.561252239601707</v>
      </c>
      <c r="J38" s="133">
        <f t="shared" si="16"/>
        <v>47.123009533197518</v>
      </c>
      <c r="K38" s="133">
        <f t="shared" si="16"/>
        <v>55.298851172036485</v>
      </c>
      <c r="L38" s="133">
        <f t="shared" si="16"/>
        <v>68.888252224313092</v>
      </c>
      <c r="M38" s="92"/>
      <c r="N38" s="92"/>
      <c r="O38" s="92"/>
      <c r="P38" s="92"/>
      <c r="Q38" s="92"/>
      <c r="R38" s="92"/>
      <c r="S38" s="92"/>
      <c r="T38" s="92"/>
      <c r="U38" s="92"/>
      <c r="V38" s="92"/>
      <c r="W38" s="92"/>
      <c r="X38" s="92"/>
      <c r="Y38" s="92"/>
      <c r="Z38" s="92"/>
      <c r="AA38" s="92"/>
      <c r="AB38" s="92"/>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row>
    <row r="39" spans="1:66">
      <c r="A39" s="100" t="s">
        <v>150</v>
      </c>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row>
    <row r="40" spans="1:66">
      <c r="A40" s="17" t="s">
        <v>148</v>
      </c>
      <c r="B40" s="132"/>
      <c r="C40" s="132"/>
      <c r="D40" s="92"/>
      <c r="E40" s="132">
        <f>E37-E43</f>
        <v>25.096323756769511</v>
      </c>
      <c r="F40" s="132">
        <f t="shared" ref="F40:L40" si="17">F37-F43</f>
        <v>26.392207928178564</v>
      </c>
      <c r="G40" s="132">
        <f t="shared" si="17"/>
        <v>23.817885965021965</v>
      </c>
      <c r="H40" s="132">
        <f t="shared" si="17"/>
        <v>22.267438102356309</v>
      </c>
      <c r="I40" s="132">
        <f t="shared" si="17"/>
        <v>23.285351874212168</v>
      </c>
      <c r="J40" s="132">
        <f t="shared" si="17"/>
        <v>26.193005669196186</v>
      </c>
      <c r="K40" s="132">
        <f t="shared" si="17"/>
        <v>28.909364974750972</v>
      </c>
      <c r="L40" s="132">
        <f t="shared" si="17"/>
        <v>36.961628607965437</v>
      </c>
      <c r="M40" s="92"/>
      <c r="N40" s="92"/>
      <c r="O40" s="92"/>
      <c r="P40" s="92"/>
      <c r="Q40" s="92"/>
      <c r="R40" s="92"/>
      <c r="S40" s="92"/>
      <c r="T40" s="92"/>
      <c r="U40" s="92"/>
      <c r="V40" s="92"/>
      <c r="W40" s="92"/>
      <c r="X40" s="92"/>
      <c r="Y40" s="92"/>
      <c r="Z40" s="92"/>
      <c r="AA40" s="92"/>
      <c r="AB40" s="92"/>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row>
    <row r="41" spans="1:66">
      <c r="A41" s="17" t="s">
        <v>149</v>
      </c>
      <c r="B41" s="133"/>
      <c r="C41" s="133"/>
      <c r="D41" s="92"/>
      <c r="E41" s="133">
        <f t="shared" ref="E41:L41" si="18">1.1*E40</f>
        <v>27.605956132446465</v>
      </c>
      <c r="F41" s="133">
        <f t="shared" si="18"/>
        <v>29.031428720996423</v>
      </c>
      <c r="G41" s="133">
        <f t="shared" si="18"/>
        <v>26.199674561524162</v>
      </c>
      <c r="H41" s="133">
        <f t="shared" si="18"/>
        <v>24.494181912591941</v>
      </c>
      <c r="I41" s="133">
        <f t="shared" si="18"/>
        <v>25.613887061633388</v>
      </c>
      <c r="J41" s="133">
        <f t="shared" si="18"/>
        <v>28.812306236115806</v>
      </c>
      <c r="K41" s="133">
        <f t="shared" si="18"/>
        <v>31.800301472226071</v>
      </c>
      <c r="L41" s="133">
        <f t="shared" si="18"/>
        <v>40.657791468761985</v>
      </c>
      <c r="M41" s="92"/>
      <c r="N41" s="92"/>
      <c r="O41" s="92"/>
      <c r="P41" s="92"/>
      <c r="Q41" s="92"/>
      <c r="R41" s="92"/>
      <c r="S41" s="92"/>
      <c r="T41" s="92"/>
      <c r="U41" s="92"/>
      <c r="V41" s="92"/>
      <c r="W41" s="92"/>
      <c r="X41" s="92"/>
      <c r="Y41" s="92"/>
      <c r="Z41" s="92"/>
      <c r="AA41" s="92"/>
      <c r="AB41" s="92"/>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row>
    <row r="42" spans="1:66">
      <c r="A42" s="100" t="s">
        <v>151</v>
      </c>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row>
    <row r="43" spans="1:66">
      <c r="A43" s="17" t="s">
        <v>148</v>
      </c>
      <c r="B43" s="132"/>
      <c r="C43" s="132"/>
      <c r="D43" s="92"/>
      <c r="E43" s="132">
        <f>(E8+E11/2.525+E18+E25*0.4)/(E35*1000)/30</f>
        <v>15.484325963396582</v>
      </c>
      <c r="F43" s="132">
        <f t="shared" ref="F43:L43" si="19">(F8+F11/2.525+F18+F25*0.4)/(F35*1000)/30</f>
        <v>13.136018513426739</v>
      </c>
      <c r="G43" s="132">
        <f t="shared" si="19"/>
        <v>14.003245009886973</v>
      </c>
      <c r="H43" s="132">
        <f t="shared" si="19"/>
        <v>14.100561399070392</v>
      </c>
      <c r="I43" s="132">
        <f t="shared" si="19"/>
        <v>16.315786525425743</v>
      </c>
      <c r="J43" s="132">
        <f t="shared" si="19"/>
        <v>16.646093906437915</v>
      </c>
      <c r="K43" s="132">
        <f t="shared" si="19"/>
        <v>21.362317908918556</v>
      </c>
      <c r="L43" s="132">
        <f t="shared" si="19"/>
        <v>25.664055232319182</v>
      </c>
      <c r="M43" s="92"/>
      <c r="N43" s="92"/>
      <c r="O43" s="92"/>
      <c r="P43" s="92"/>
      <c r="Q43" s="92"/>
      <c r="R43" s="92"/>
      <c r="S43" s="92"/>
      <c r="T43" s="92"/>
      <c r="U43" s="92"/>
      <c r="V43" s="92"/>
      <c r="W43" s="92"/>
      <c r="X43" s="92"/>
      <c r="Y43" s="92"/>
      <c r="Z43" s="92"/>
      <c r="AA43" s="92"/>
      <c r="AB43" s="92"/>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row>
    <row r="44" spans="1:66">
      <c r="A44" s="17" t="s">
        <v>149</v>
      </c>
      <c r="B44" s="133"/>
      <c r="C44" s="133"/>
      <c r="D44" s="92"/>
      <c r="E44" s="133">
        <f t="shared" ref="E44:L44" si="20">1.1*E43</f>
        <v>17.032758559736241</v>
      </c>
      <c r="F44" s="133">
        <f t="shared" si="20"/>
        <v>14.449620364769414</v>
      </c>
      <c r="G44" s="133">
        <f t="shared" si="20"/>
        <v>15.403569510875672</v>
      </c>
      <c r="H44" s="133">
        <f t="shared" si="20"/>
        <v>15.510617538977431</v>
      </c>
      <c r="I44" s="133">
        <f t="shared" si="20"/>
        <v>17.947365177968319</v>
      </c>
      <c r="J44" s="133">
        <f t="shared" si="20"/>
        <v>18.310703297081709</v>
      </c>
      <c r="K44" s="133">
        <f t="shared" si="20"/>
        <v>23.498549699810415</v>
      </c>
      <c r="L44" s="133">
        <f t="shared" si="20"/>
        <v>28.230460755551103</v>
      </c>
      <c r="M44" s="92"/>
      <c r="N44" s="92"/>
      <c r="O44" s="92"/>
      <c r="P44" s="92"/>
      <c r="Q44" s="92"/>
      <c r="R44" s="92"/>
      <c r="S44" s="92"/>
      <c r="T44" s="92"/>
      <c r="U44" s="92"/>
      <c r="V44" s="92"/>
      <c r="W44" s="92"/>
      <c r="X44" s="92"/>
      <c r="Y44" s="92"/>
      <c r="Z44" s="92"/>
      <c r="AA44" s="92"/>
      <c r="AB44" s="92"/>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row>
    <row r="45" spans="1:66">
      <c r="A45" s="17" t="s">
        <v>152</v>
      </c>
      <c r="B45" s="92"/>
      <c r="C45" s="92"/>
      <c r="D45" s="92"/>
      <c r="E45" s="180"/>
      <c r="F45" s="133"/>
      <c r="G45" s="133"/>
      <c r="H45" s="133"/>
      <c r="I45" s="133"/>
      <c r="J45" s="133"/>
      <c r="K45" s="133"/>
      <c r="L45" s="133"/>
      <c r="M45" s="92"/>
      <c r="N45" s="92"/>
      <c r="O45" s="92"/>
      <c r="P45" s="92"/>
      <c r="Q45" s="92"/>
      <c r="R45" s="92"/>
      <c r="S45" s="92"/>
      <c r="T45" s="92"/>
      <c r="U45" s="92"/>
      <c r="V45" s="92"/>
      <c r="W45" s="92"/>
      <c r="X45" s="92"/>
      <c r="Y45" s="92"/>
      <c r="Z45" s="92"/>
      <c r="AA45" s="92"/>
      <c r="AB45" s="92"/>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row>
    <row r="46" spans="1:66">
      <c r="A46" s="17"/>
      <c r="B46" s="92"/>
      <c r="C46" s="92"/>
      <c r="D46" s="92"/>
      <c r="E46" s="133"/>
      <c r="F46" s="133"/>
      <c r="G46" s="133"/>
      <c r="H46" s="133"/>
      <c r="I46" s="133"/>
      <c r="J46" s="133"/>
      <c r="K46" s="133"/>
      <c r="L46" s="133"/>
      <c r="M46" s="92"/>
      <c r="N46" s="92"/>
      <c r="O46" s="92"/>
      <c r="P46" s="92"/>
      <c r="Q46" s="92"/>
      <c r="R46" s="92"/>
      <c r="S46" s="92"/>
      <c r="T46" s="92"/>
      <c r="U46" s="92"/>
      <c r="V46" s="92"/>
      <c r="W46" s="92"/>
      <c r="X46" s="92"/>
      <c r="Y46" s="92"/>
      <c r="Z46" s="92"/>
      <c r="AA46" s="92"/>
      <c r="AB46" s="92"/>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row>
    <row r="47" spans="1:66">
      <c r="A47" s="100"/>
      <c r="B47" s="93" t="s">
        <v>153</v>
      </c>
      <c r="C47" s="94"/>
      <c r="D47" s="94"/>
      <c r="E47" s="95" t="s">
        <v>154</v>
      </c>
      <c r="F47" s="96"/>
      <c r="G47" s="96"/>
      <c r="H47" s="96"/>
      <c r="I47" s="96"/>
      <c r="J47" s="97"/>
      <c r="K47" s="96"/>
      <c r="L47" s="97"/>
      <c r="M47" s="92"/>
      <c r="N47" s="92"/>
      <c r="O47" s="92"/>
      <c r="P47" s="92"/>
      <c r="Q47" s="92"/>
      <c r="R47" s="92"/>
      <c r="S47" s="92"/>
      <c r="T47" s="92"/>
      <c r="U47" s="92"/>
      <c r="V47" s="92"/>
      <c r="W47" s="92"/>
      <c r="X47" s="92"/>
      <c r="Y47" s="92"/>
      <c r="Z47" s="92"/>
      <c r="AA47" s="92"/>
      <c r="AB47" s="92"/>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row>
    <row r="48" spans="1:66">
      <c r="A48" s="17"/>
      <c r="B48" s="16" t="s">
        <v>155</v>
      </c>
      <c r="C48" s="17"/>
      <c r="D48" s="17"/>
      <c r="E48" s="17"/>
      <c r="F48" s="17"/>
      <c r="G48" s="17"/>
      <c r="H48" s="17"/>
      <c r="I48" s="17"/>
      <c r="J48" s="18"/>
      <c r="K48" s="17"/>
      <c r="L48" s="18"/>
      <c r="M48" s="92"/>
      <c r="N48" s="92"/>
      <c r="O48" s="92"/>
      <c r="P48" s="92"/>
      <c r="Q48" s="92"/>
      <c r="R48" s="92"/>
      <c r="S48" s="92"/>
      <c r="T48" s="92"/>
      <c r="U48" s="92"/>
      <c r="V48" s="92"/>
      <c r="W48" s="92"/>
      <c r="X48" s="92"/>
      <c r="Y48" s="92"/>
      <c r="Z48" s="92"/>
      <c r="AA48" s="92"/>
      <c r="AB48" s="92"/>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row>
    <row r="49" spans="1:66">
      <c r="A49" s="100"/>
      <c r="B49" s="16" t="s">
        <v>156</v>
      </c>
      <c r="C49" s="17"/>
      <c r="D49" s="17"/>
      <c r="E49" s="17"/>
      <c r="F49" s="17"/>
      <c r="G49" s="17"/>
      <c r="H49" s="17"/>
      <c r="I49" s="17"/>
      <c r="J49" s="18"/>
      <c r="K49" s="17"/>
      <c r="L49" s="18"/>
      <c r="M49" s="92"/>
      <c r="N49" s="92"/>
      <c r="O49" s="92"/>
      <c r="P49" s="92"/>
      <c r="Q49" s="92"/>
      <c r="R49" s="92"/>
      <c r="S49" s="92"/>
      <c r="T49" s="92"/>
      <c r="U49" s="92"/>
      <c r="V49" s="92"/>
      <c r="W49" s="92"/>
      <c r="X49" s="92"/>
      <c r="Y49" s="92"/>
      <c r="Z49" s="92"/>
      <c r="AA49" s="92"/>
      <c r="AB49" s="92"/>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row>
    <row r="50" spans="1:66">
      <c r="A50" s="100"/>
      <c r="B50" s="16" t="s">
        <v>157</v>
      </c>
      <c r="C50" s="17"/>
      <c r="D50" s="17"/>
      <c r="E50" s="17"/>
      <c r="F50" s="17"/>
      <c r="G50" s="17"/>
      <c r="H50" s="17"/>
      <c r="I50" s="17"/>
      <c r="J50" s="18"/>
      <c r="K50" s="17"/>
      <c r="L50" s="18"/>
      <c r="M50" s="92"/>
      <c r="N50" s="92"/>
      <c r="O50" s="92"/>
      <c r="P50" s="92"/>
      <c r="Q50" s="92"/>
      <c r="R50" s="92"/>
      <c r="S50" s="92"/>
      <c r="T50" s="92"/>
      <c r="U50" s="92"/>
      <c r="V50" s="92"/>
      <c r="W50" s="92"/>
      <c r="X50" s="92"/>
      <c r="Y50" s="92"/>
      <c r="Z50" s="92"/>
      <c r="AA50" s="92"/>
      <c r="AB50" s="92"/>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row>
    <row r="51" spans="1:66">
      <c r="A51" s="100"/>
      <c r="B51" s="16" t="s">
        <v>158</v>
      </c>
      <c r="C51" s="17"/>
      <c r="D51" s="17"/>
      <c r="E51" s="17"/>
      <c r="F51" s="17"/>
      <c r="G51" s="17"/>
      <c r="H51" s="17"/>
      <c r="I51" s="17"/>
      <c r="J51" s="18"/>
      <c r="K51" s="17"/>
      <c r="L51" s="18"/>
      <c r="M51" s="92"/>
      <c r="N51" s="92"/>
      <c r="O51" s="92"/>
      <c r="P51" s="92"/>
      <c r="Q51" s="92"/>
      <c r="R51" s="92"/>
      <c r="S51" s="92"/>
      <c r="T51" s="92"/>
      <c r="U51" s="92"/>
      <c r="V51" s="92"/>
      <c r="W51" s="92"/>
      <c r="X51" s="92"/>
      <c r="Y51" s="92"/>
      <c r="Z51" s="92"/>
      <c r="AA51" s="92"/>
      <c r="AB51" s="92"/>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row>
    <row r="52" spans="1:66">
      <c r="A52" s="17"/>
      <c r="B52" s="24" t="s">
        <v>159</v>
      </c>
      <c r="C52" s="98"/>
      <c r="D52" s="98"/>
      <c r="E52" s="98"/>
      <c r="F52" s="98"/>
      <c r="G52" s="98"/>
      <c r="H52" s="98"/>
      <c r="I52" s="98"/>
      <c r="J52" s="99"/>
      <c r="K52" s="98"/>
      <c r="L52" s="99"/>
      <c r="M52" s="92"/>
      <c r="N52" s="92"/>
      <c r="O52" s="92"/>
      <c r="P52" s="92"/>
      <c r="Q52" s="92"/>
      <c r="R52" s="92"/>
      <c r="S52" s="92"/>
      <c r="T52" s="92"/>
      <c r="U52" s="92"/>
      <c r="V52" s="92"/>
      <c r="W52" s="92"/>
      <c r="X52" s="92"/>
      <c r="Y52" s="92"/>
      <c r="Z52" s="92"/>
      <c r="AA52" s="92"/>
      <c r="AB52" s="92"/>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row>
    <row r="53" spans="1:66">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row>
    <row r="54" spans="1:66">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row>
    <row r="55" spans="1:66">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row>
    <row r="56" spans="1:66">
      <c r="A56" s="17"/>
      <c r="B56" s="17"/>
      <c r="C56" s="17"/>
      <c r="D56" s="17"/>
      <c r="E56" s="17"/>
      <c r="F56" s="17"/>
      <c r="G56" s="134"/>
      <c r="H56" s="17"/>
      <c r="I56" s="17"/>
      <c r="J56" s="17"/>
      <c r="K56" s="17"/>
      <c r="L56" s="17"/>
      <c r="M56" s="17"/>
      <c r="N56" s="17"/>
      <c r="O56" s="17"/>
      <c r="P56" s="17"/>
      <c r="Q56" s="17"/>
      <c r="R56" s="17"/>
      <c r="S56" s="17"/>
      <c r="T56" s="17"/>
      <c r="U56" s="17"/>
      <c r="V56" s="17"/>
      <c r="W56" s="17"/>
      <c r="X56" s="17"/>
      <c r="Y56" s="17"/>
      <c r="Z56" s="17"/>
      <c r="AA56" s="17"/>
      <c r="AB56" s="17"/>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row>
  </sheetData>
  <mergeCells count="2">
    <mergeCell ref="B1:C1"/>
    <mergeCell ref="F1:G1"/>
  </mergeCells>
  <hyperlinks>
    <hyperlink ref="P8" r:id="rId1" display="https://www.pnnl.gov/sites/default/files/media/file/Final - ESGC Cost Performance Report 12-11-2020.pdf" xr:uid="{3692F0F4-F6F2-4448-B91C-6E026047F86C}"/>
    <hyperlink ref="E47" r:id="rId2" xr:uid="{84607645-12A3-4767-B00B-E44144F204B0}"/>
    <hyperlink ref="Q25" r:id="rId3" location=":~:text=Property%20rates%20for%20solar%20developers,chosen%2C%20area%20and%20deductible%20amounts." display="https://www.solarinsure.com/for-solar-developers-how-solar-property-insurance-is-priced - :~:text=Property%20rates%20for%20solar%20developers,chosen%2C%20area%20and%20deductible%20amounts." xr:uid="{47905A30-980A-43EC-9030-3A5F86D3242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DB63-4122-452D-BD0F-DD6B5469DC45}">
  <dimension ref="A1:BJ49"/>
  <sheetViews>
    <sheetView workbookViewId="0">
      <selection activeCell="B1" sqref="B1:C1"/>
    </sheetView>
  </sheetViews>
  <sheetFormatPr defaultRowHeight="15"/>
  <cols>
    <col min="1" max="1" width="36.7109375" bestFit="1" customWidth="1"/>
    <col min="2" max="7" width="9.85546875" bestFit="1" customWidth="1"/>
    <col min="8" max="8" width="9" bestFit="1" customWidth="1"/>
  </cols>
  <sheetData>
    <row r="1" spans="1:62">
      <c r="A1" s="100" t="s">
        <v>97</v>
      </c>
      <c r="B1" s="199" t="s">
        <v>6</v>
      </c>
      <c r="C1" s="199"/>
      <c r="D1" s="101" t="s">
        <v>7</v>
      </c>
      <c r="E1" s="101" t="s">
        <v>8</v>
      </c>
      <c r="F1" s="101" t="s">
        <v>9</v>
      </c>
      <c r="G1" s="101" t="s">
        <v>10</v>
      </c>
      <c r="H1" s="101" t="s">
        <v>11</v>
      </c>
      <c r="I1" s="33"/>
      <c r="J1" s="2" t="s">
        <v>100</v>
      </c>
      <c r="K1" s="1"/>
      <c r="L1" s="1"/>
      <c r="M1" s="1"/>
      <c r="N1" s="1"/>
      <c r="O1" s="1"/>
      <c r="P1" s="1"/>
      <c r="Q1" s="1"/>
      <c r="R1" s="1"/>
      <c r="S1" s="1"/>
      <c r="T1" s="1"/>
      <c r="U1" s="1"/>
      <c r="V1" s="1"/>
      <c r="W1" s="1"/>
      <c r="X1" s="1"/>
    </row>
    <row r="2" spans="1:62">
      <c r="A2" s="102" t="s">
        <v>160</v>
      </c>
      <c r="B2" s="103" t="s">
        <v>15</v>
      </c>
      <c r="C2" s="103" t="s">
        <v>16</v>
      </c>
      <c r="D2" s="17"/>
      <c r="E2" s="17"/>
      <c r="F2" s="17"/>
      <c r="G2" s="17"/>
      <c r="H2" s="17"/>
      <c r="I2" s="33"/>
      <c r="J2" s="1"/>
      <c r="K2" s="1"/>
      <c r="L2" s="1"/>
      <c r="M2" s="1"/>
      <c r="N2" s="1"/>
      <c r="O2" s="1"/>
      <c r="P2" s="1"/>
      <c r="Q2" s="1"/>
      <c r="R2" s="1"/>
      <c r="S2" s="1"/>
      <c r="T2" s="1"/>
      <c r="U2" s="1"/>
      <c r="V2" s="1"/>
      <c r="W2" s="1"/>
      <c r="X2" s="1"/>
    </row>
    <row r="3" spans="1:62" ht="3.75" customHeight="1">
      <c r="A3" s="100"/>
      <c r="B3" s="103"/>
      <c r="C3" s="103"/>
      <c r="D3" s="17"/>
      <c r="E3" s="17"/>
      <c r="F3" s="17"/>
      <c r="G3" s="17"/>
      <c r="H3" s="17"/>
      <c r="I3" s="33"/>
      <c r="J3" s="1"/>
      <c r="K3" s="1"/>
      <c r="L3" s="1"/>
      <c r="M3" s="1"/>
      <c r="N3" s="1"/>
      <c r="O3" s="1"/>
      <c r="P3" s="1"/>
      <c r="Q3" s="1"/>
      <c r="R3" s="1"/>
      <c r="S3" s="1"/>
      <c r="T3" s="1"/>
      <c r="U3" s="1"/>
      <c r="V3" s="1"/>
      <c r="W3" s="1"/>
      <c r="X3" s="1"/>
    </row>
    <row r="4" spans="1:62">
      <c r="A4" s="100" t="s">
        <v>104</v>
      </c>
      <c r="B4" s="22"/>
      <c r="C4" s="92"/>
      <c r="D4" s="92"/>
      <c r="E4" s="92"/>
      <c r="F4" s="92"/>
      <c r="G4" s="92"/>
      <c r="H4" s="92"/>
      <c r="I4" s="41"/>
      <c r="J4" s="3"/>
      <c r="K4" s="3"/>
      <c r="L4" s="3"/>
      <c r="M4" s="3"/>
      <c r="N4" s="3"/>
      <c r="O4" s="3"/>
      <c r="P4" s="3"/>
      <c r="Q4" s="3"/>
      <c r="R4" s="3"/>
      <c r="S4" s="3"/>
      <c r="T4" s="3"/>
      <c r="U4" s="3"/>
      <c r="V4" s="3"/>
      <c r="W4" s="3"/>
      <c r="X4" s="3"/>
    </row>
    <row r="5" spans="1:62">
      <c r="A5" s="17" t="s">
        <v>161</v>
      </c>
      <c r="B5" s="104">
        <f>OpEx!F5</f>
        <v>383999.99999999901</v>
      </c>
      <c r="C5" s="104">
        <f>OpEx!G5</f>
        <v>336000</v>
      </c>
      <c r="D5" s="104">
        <f>OpEx!H5</f>
        <v>384000</v>
      </c>
      <c r="E5" s="104">
        <f>OpEx!I5</f>
        <v>264000</v>
      </c>
      <c r="F5" s="104">
        <f>OpEx!J5</f>
        <v>264000</v>
      </c>
      <c r="G5" s="104">
        <f>OpEx!K5</f>
        <v>120000</v>
      </c>
      <c r="H5" s="104">
        <f>OpEx!L5</f>
        <v>72000</v>
      </c>
      <c r="I5" s="86" t="s">
        <v>106</v>
      </c>
      <c r="J5" s="6"/>
      <c r="K5" s="6"/>
      <c r="L5" s="6"/>
      <c r="M5" s="6"/>
      <c r="N5" s="6"/>
      <c r="O5" s="6"/>
      <c r="P5" s="6"/>
      <c r="Q5" s="6"/>
      <c r="R5" s="6"/>
      <c r="S5" s="6"/>
      <c r="T5" s="6"/>
      <c r="U5" s="3"/>
      <c r="V5" s="3"/>
      <c r="W5" s="3"/>
      <c r="X5" s="3"/>
    </row>
    <row r="6" spans="1:62">
      <c r="A6" s="17" t="s">
        <v>162</v>
      </c>
      <c r="B6" s="104">
        <f>OpEx!F6</f>
        <v>383999.99999999901</v>
      </c>
      <c r="C6" s="104">
        <f>OpEx!G6</f>
        <v>336000</v>
      </c>
      <c r="D6" s="104">
        <f>OpEx!H6</f>
        <v>384000</v>
      </c>
      <c r="E6" s="104">
        <f>OpEx!I6</f>
        <v>264000</v>
      </c>
      <c r="F6" s="104">
        <f>OpEx!J6</f>
        <v>264000</v>
      </c>
      <c r="G6" s="104">
        <f>OpEx!K6</f>
        <v>120000</v>
      </c>
      <c r="H6" s="104">
        <f>OpEx!L6</f>
        <v>72000</v>
      </c>
      <c r="I6" s="86" t="s">
        <v>108</v>
      </c>
      <c r="J6" s="5"/>
      <c r="K6" s="5"/>
      <c r="L6" s="5"/>
      <c r="M6" s="5"/>
      <c r="N6" s="5"/>
      <c r="O6" s="5"/>
      <c r="P6" s="5"/>
      <c r="Q6" s="5"/>
      <c r="R6" s="5"/>
      <c r="S6" s="5"/>
      <c r="T6" s="5"/>
      <c r="U6" s="3"/>
      <c r="V6" s="3"/>
      <c r="W6" s="3"/>
      <c r="X6" s="3"/>
    </row>
    <row r="7" spans="1:62">
      <c r="A7" s="17" t="s">
        <v>163</v>
      </c>
      <c r="B7" s="104">
        <f>OpEx!F8</f>
        <v>1578633.7050000029</v>
      </c>
      <c r="C7" s="104">
        <f>OpEx!G8</f>
        <v>1578633.7050000029</v>
      </c>
      <c r="D7" s="104">
        <f>OpEx!H8</f>
        <v>1952737.5656249945</v>
      </c>
      <c r="E7" s="104">
        <f>OpEx!I8</f>
        <v>1970735.146874995</v>
      </c>
      <c r="F7" s="104">
        <f>OpEx!J8</f>
        <v>1988732.7281249869</v>
      </c>
      <c r="G7" s="104">
        <f>OpEx!K8</f>
        <v>1071911.775000002</v>
      </c>
      <c r="H7" s="104">
        <f>OpEx!L8</f>
        <v>653912.11874999793</v>
      </c>
      <c r="I7" s="86" t="s">
        <v>111</v>
      </c>
      <c r="J7" s="5"/>
      <c r="K7" s="5"/>
      <c r="L7" s="4" t="s">
        <v>112</v>
      </c>
      <c r="M7" s="5"/>
      <c r="N7" s="5"/>
      <c r="O7" s="5"/>
      <c r="P7" s="5"/>
      <c r="Q7" s="5"/>
      <c r="R7" s="5"/>
      <c r="S7" s="5"/>
      <c r="T7" s="5"/>
      <c r="U7" s="3"/>
      <c r="V7" s="3"/>
      <c r="W7" s="3"/>
      <c r="X7" s="3"/>
    </row>
    <row r="8" spans="1:62">
      <c r="A8" s="17" t="s">
        <v>164</v>
      </c>
      <c r="B8" s="104">
        <f>OpEx!F9</f>
        <v>32250</v>
      </c>
      <c r="C8" s="104">
        <f>OpEx!G9</f>
        <v>32250</v>
      </c>
      <c r="D8" s="104">
        <f>OpEx!H9</f>
        <v>32250</v>
      </c>
      <c r="E8" s="104">
        <f>OpEx!I9</f>
        <v>32250</v>
      </c>
      <c r="F8" s="104">
        <f>OpEx!J9</f>
        <v>32250</v>
      </c>
      <c r="G8" s="104">
        <f>OpEx!K9</f>
        <v>32250</v>
      </c>
      <c r="H8" s="104">
        <f>OpEx!L9</f>
        <v>32250</v>
      </c>
      <c r="I8" s="86" t="s">
        <v>114</v>
      </c>
      <c r="J8" s="5"/>
      <c r="K8" s="5"/>
      <c r="L8" s="5"/>
      <c r="M8" s="5"/>
      <c r="N8" s="5"/>
      <c r="O8" s="5"/>
      <c r="P8" s="5"/>
      <c r="Q8" s="5"/>
      <c r="R8" s="5"/>
      <c r="S8" s="5"/>
      <c r="T8" s="5"/>
      <c r="U8" s="3"/>
      <c r="V8" s="3"/>
      <c r="W8" s="3"/>
      <c r="X8" s="3"/>
    </row>
    <row r="9" spans="1:62">
      <c r="A9" s="17" t="s">
        <v>165</v>
      </c>
      <c r="B9" s="104">
        <f>OpEx!F10</f>
        <v>44250</v>
      </c>
      <c r="C9" s="104">
        <f>OpEx!G10</f>
        <v>44250</v>
      </c>
      <c r="D9" s="104">
        <f>OpEx!H10</f>
        <v>44250</v>
      </c>
      <c r="E9" s="104">
        <f>OpEx!I10</f>
        <v>44250</v>
      </c>
      <c r="F9" s="104">
        <f>OpEx!J10</f>
        <v>44250</v>
      </c>
      <c r="G9" s="104">
        <f>OpEx!K10</f>
        <v>44250</v>
      </c>
      <c r="H9" s="104">
        <f>OpEx!L10</f>
        <v>44250</v>
      </c>
      <c r="I9" s="86"/>
      <c r="J9" s="5"/>
      <c r="K9" s="5"/>
      <c r="L9" s="5"/>
      <c r="M9" s="5"/>
      <c r="N9" s="5"/>
      <c r="O9" s="5"/>
      <c r="P9" s="5"/>
      <c r="Q9" s="5"/>
      <c r="R9" s="5"/>
      <c r="S9" s="5"/>
      <c r="T9" s="5"/>
      <c r="U9" s="3"/>
      <c r="V9" s="3"/>
      <c r="W9" s="3"/>
      <c r="X9" s="3"/>
    </row>
    <row r="10" spans="1:62">
      <c r="A10" s="17" t="s">
        <v>166</v>
      </c>
      <c r="B10" s="104">
        <f>OpEx!F11</f>
        <v>5011894</v>
      </c>
      <c r="C10" s="104">
        <f>OpEx!G11</f>
        <v>4855807</v>
      </c>
      <c r="D10" s="104">
        <f>OpEx!H11</f>
        <v>4959549</v>
      </c>
      <c r="E10" s="104">
        <f>OpEx!I11</f>
        <v>2612188</v>
      </c>
      <c r="F10" s="104">
        <f>OpEx!J11</f>
        <v>2537520</v>
      </c>
      <c r="G10" s="104">
        <f>OpEx!K11</f>
        <v>2167376</v>
      </c>
      <c r="H10" s="104">
        <f>OpEx!L11</f>
        <v>1256893</v>
      </c>
      <c r="I10" s="86" t="s">
        <v>117</v>
      </c>
      <c r="J10" s="5"/>
      <c r="K10" s="5"/>
      <c r="L10" s="5"/>
      <c r="M10" s="5"/>
      <c r="N10" s="5"/>
      <c r="O10" s="5"/>
      <c r="P10" s="5"/>
      <c r="Q10" s="5"/>
      <c r="R10" s="5"/>
      <c r="S10" s="5"/>
      <c r="T10" s="5"/>
      <c r="U10" s="3"/>
      <c r="V10" s="3"/>
      <c r="W10" s="3"/>
      <c r="X10" s="3"/>
    </row>
    <row r="11" spans="1:62">
      <c r="A11" s="17" t="s">
        <v>167</v>
      </c>
      <c r="B11" s="26">
        <f>OpEx!F12</f>
        <v>1552320</v>
      </c>
      <c r="C11" s="26">
        <f>OpEx!G12</f>
        <v>1411200</v>
      </c>
      <c r="D11" s="26">
        <f>OpEx!H12</f>
        <v>1552320</v>
      </c>
      <c r="E11" s="26">
        <f>OpEx!I12</f>
        <v>1135680</v>
      </c>
      <c r="F11" s="26">
        <f>OpEx!J12</f>
        <v>1070160</v>
      </c>
      <c r="G11" s="26">
        <f>OpEx!K12</f>
        <v>517440</v>
      </c>
      <c r="H11" s="26">
        <f>OpEx!L12</f>
        <v>262080</v>
      </c>
      <c r="I11" s="86" t="s">
        <v>119</v>
      </c>
      <c r="J11" s="5"/>
      <c r="K11" s="5"/>
      <c r="L11" s="5"/>
      <c r="M11" s="5"/>
      <c r="N11" s="5"/>
      <c r="O11" s="5"/>
      <c r="P11" s="5"/>
      <c r="Q11" s="5"/>
      <c r="R11" s="5"/>
      <c r="S11" s="5"/>
      <c r="T11" s="5"/>
      <c r="U11" s="3"/>
      <c r="V11" s="3"/>
      <c r="W11" s="3"/>
      <c r="X11" s="3"/>
    </row>
    <row r="12" spans="1:62">
      <c r="A12" s="100" t="s">
        <v>120</v>
      </c>
      <c r="B12" s="105">
        <f t="shared" ref="B12:H12" si="0">SUM(B5:B11)</f>
        <v>8987347.7050000019</v>
      </c>
      <c r="C12" s="105">
        <f t="shared" si="0"/>
        <v>8594140.7050000019</v>
      </c>
      <c r="D12" s="105">
        <f t="shared" si="0"/>
        <v>9309106.5656249933</v>
      </c>
      <c r="E12" s="105">
        <f t="shared" si="0"/>
        <v>6323103.146874995</v>
      </c>
      <c r="F12" s="105">
        <f t="shared" si="0"/>
        <v>6200912.7281249873</v>
      </c>
      <c r="G12" s="105">
        <f t="shared" si="0"/>
        <v>4073227.7750000022</v>
      </c>
      <c r="H12" s="105">
        <f t="shared" si="0"/>
        <v>2393385.118749998</v>
      </c>
      <c r="I12" s="86"/>
      <c r="J12" s="3"/>
      <c r="K12" s="3"/>
      <c r="L12" s="3"/>
      <c r="M12" s="3"/>
      <c r="N12" s="3"/>
      <c r="O12" s="3"/>
      <c r="P12" s="3"/>
      <c r="Q12" s="3"/>
      <c r="R12" s="3"/>
      <c r="S12" s="3"/>
      <c r="T12" s="3"/>
      <c r="U12" s="3"/>
      <c r="V12" s="3"/>
      <c r="W12" s="3"/>
      <c r="X12" s="3"/>
    </row>
    <row r="13" spans="1:62" ht="5.25" customHeight="1">
      <c r="A13" s="17"/>
      <c r="B13" s="104"/>
      <c r="C13" s="104"/>
      <c r="D13" s="104"/>
      <c r="E13" s="104"/>
      <c r="F13" s="104"/>
      <c r="G13" s="104"/>
      <c r="H13" s="104"/>
      <c r="I13" s="86"/>
      <c r="J13" s="41"/>
      <c r="K13" s="41"/>
      <c r="L13" s="41"/>
      <c r="M13" s="41"/>
      <c r="N13" s="41"/>
      <c r="O13" s="41"/>
      <c r="P13" s="41"/>
      <c r="Q13" s="41"/>
      <c r="R13" s="41"/>
      <c r="S13" s="41"/>
      <c r="T13" s="41"/>
      <c r="U13" s="41"/>
      <c r="V13" s="41"/>
      <c r="W13" s="41"/>
      <c r="X13" s="4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row>
    <row r="14" spans="1:62">
      <c r="A14" s="100" t="s">
        <v>121</v>
      </c>
      <c r="B14" s="104"/>
      <c r="C14" s="104"/>
      <c r="D14" s="104"/>
      <c r="E14" s="104"/>
      <c r="F14" s="104"/>
      <c r="G14" s="104"/>
      <c r="H14" s="104"/>
      <c r="I14" s="86"/>
      <c r="J14" s="41"/>
      <c r="K14" s="41"/>
      <c r="L14" s="41"/>
      <c r="M14" s="41"/>
      <c r="N14" s="41"/>
      <c r="O14" s="41"/>
      <c r="P14" s="41"/>
      <c r="Q14" s="41"/>
      <c r="R14" s="41"/>
      <c r="S14" s="41"/>
      <c r="T14" s="41"/>
      <c r="U14" s="41"/>
      <c r="V14" s="41"/>
      <c r="W14" s="41"/>
      <c r="X14" s="4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row>
    <row r="15" spans="1:62">
      <c r="A15" s="17" t="s">
        <v>168</v>
      </c>
      <c r="B15" s="104">
        <f>OpEx!F16</f>
        <v>380525.00000000099</v>
      </c>
      <c r="C15" s="104">
        <f>OpEx!G16</f>
        <v>346155</v>
      </c>
      <c r="D15" s="104">
        <f>OpEx!H16</f>
        <v>380525</v>
      </c>
      <c r="E15" s="104">
        <f>OpEx!I16</f>
        <v>279870</v>
      </c>
      <c r="F15" s="104">
        <f>OpEx!J16</f>
        <v>262685</v>
      </c>
      <c r="G15" s="104">
        <f>OpEx!K16</f>
        <v>127660</v>
      </c>
      <c r="H15" s="104">
        <f>OpEx!L16</f>
        <v>63830</v>
      </c>
      <c r="I15" s="86" t="s">
        <v>123</v>
      </c>
      <c r="J15" s="41"/>
      <c r="K15" s="41"/>
      <c r="L15" s="41"/>
      <c r="M15" s="41"/>
      <c r="N15" s="41"/>
      <c r="O15" s="41"/>
      <c r="P15" s="41"/>
      <c r="Q15" s="41"/>
      <c r="R15" s="41"/>
      <c r="S15" s="41"/>
      <c r="T15" s="41"/>
      <c r="U15" s="41"/>
      <c r="V15" s="41"/>
      <c r="W15" s="41"/>
      <c r="X15" s="4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row>
    <row r="16" spans="1:62">
      <c r="A16" s="17" t="s">
        <v>169</v>
      </c>
      <c r="B16" s="104">
        <f>OpEx!F17</f>
        <v>30000</v>
      </c>
      <c r="C16" s="104">
        <f>OpEx!G17</f>
        <v>30000</v>
      </c>
      <c r="D16" s="104">
        <f>OpEx!H17</f>
        <v>30000</v>
      </c>
      <c r="E16" s="104">
        <f>OpEx!I17</f>
        <v>30000</v>
      </c>
      <c r="F16" s="104">
        <f>OpEx!J17</f>
        <v>30000</v>
      </c>
      <c r="G16" s="104">
        <f>OpEx!K17</f>
        <v>30000</v>
      </c>
      <c r="H16" s="104">
        <f>OpEx!L17</f>
        <v>30000</v>
      </c>
      <c r="I16" s="86" t="s">
        <v>125</v>
      </c>
      <c r="J16" s="41"/>
      <c r="K16" s="41"/>
      <c r="L16" s="41"/>
      <c r="M16" s="41"/>
      <c r="N16" s="41"/>
      <c r="O16" s="41"/>
      <c r="P16" s="41"/>
      <c r="Q16" s="41"/>
      <c r="R16" s="41"/>
      <c r="S16" s="41"/>
      <c r="T16" s="41"/>
      <c r="U16" s="41"/>
      <c r="V16" s="41"/>
      <c r="W16" s="41"/>
      <c r="X16" s="4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row>
    <row r="17" spans="1:62">
      <c r="A17" s="17" t="s">
        <v>170</v>
      </c>
      <c r="B17" s="26">
        <f>OpEx!F18</f>
        <v>2155588</v>
      </c>
      <c r="C17" s="26">
        <f>OpEx!G18</f>
        <v>2070049</v>
      </c>
      <c r="D17" s="26">
        <f>OpEx!H18</f>
        <v>2230306</v>
      </c>
      <c r="E17" s="26">
        <f>OpEx!I18</f>
        <v>2178155</v>
      </c>
      <c r="F17" s="26">
        <f>OpEx!J18</f>
        <v>2001705</v>
      </c>
      <c r="G17" s="26">
        <f>OpEx!K18</f>
        <v>1187017</v>
      </c>
      <c r="H17" s="26">
        <f>OpEx!L18</f>
        <v>743804</v>
      </c>
      <c r="I17" s="86" t="s">
        <v>127</v>
      </c>
      <c r="J17" s="41"/>
      <c r="K17" s="41"/>
      <c r="L17" s="41"/>
      <c r="M17" s="41"/>
      <c r="N17" s="41"/>
      <c r="O17" s="41"/>
      <c r="P17" s="41"/>
      <c r="Q17" s="41"/>
      <c r="R17" s="41"/>
      <c r="S17" s="41"/>
      <c r="T17" s="41"/>
      <c r="U17" s="41"/>
      <c r="V17" s="41"/>
      <c r="W17" s="41"/>
      <c r="X17" s="4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row>
    <row r="18" spans="1:62">
      <c r="A18" s="100" t="s">
        <v>128</v>
      </c>
      <c r="B18" s="105">
        <f t="shared" ref="B18:H18" si="1">SUM(B15:B17)</f>
        <v>2566113.0000000009</v>
      </c>
      <c r="C18" s="105">
        <f t="shared" si="1"/>
        <v>2446204</v>
      </c>
      <c r="D18" s="105">
        <f t="shared" si="1"/>
        <v>2640831</v>
      </c>
      <c r="E18" s="105">
        <f t="shared" si="1"/>
        <v>2488025</v>
      </c>
      <c r="F18" s="105">
        <f t="shared" si="1"/>
        <v>2294390</v>
      </c>
      <c r="G18" s="105">
        <f t="shared" si="1"/>
        <v>1344677</v>
      </c>
      <c r="H18" s="105">
        <f t="shared" si="1"/>
        <v>837634</v>
      </c>
      <c r="I18" s="86"/>
      <c r="J18" s="41"/>
      <c r="K18" s="41"/>
      <c r="L18" s="41"/>
      <c r="M18" s="41"/>
      <c r="N18" s="41"/>
      <c r="O18" s="41"/>
      <c r="P18" s="41"/>
      <c r="Q18" s="41"/>
      <c r="R18" s="41"/>
      <c r="S18" s="41"/>
      <c r="T18" s="41"/>
      <c r="U18" s="41"/>
      <c r="V18" s="41"/>
      <c r="W18" s="41"/>
      <c r="X18" s="41"/>
      <c r="Y18" s="81"/>
      <c r="Z18" s="81"/>
      <c r="AA18" s="81"/>
      <c r="AB18" s="87"/>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row>
    <row r="19" spans="1:62" ht="6.75" customHeight="1">
      <c r="A19" s="17"/>
      <c r="B19" s="104"/>
      <c r="C19" s="104"/>
      <c r="D19" s="104"/>
      <c r="E19" s="104"/>
      <c r="F19" s="104"/>
      <c r="G19" s="104"/>
      <c r="H19" s="104"/>
      <c r="I19" s="86"/>
      <c r="J19" s="41"/>
      <c r="K19" s="41"/>
      <c r="L19" s="41"/>
      <c r="M19" s="41"/>
      <c r="N19" s="41"/>
      <c r="O19" s="41"/>
      <c r="P19" s="41"/>
      <c r="Q19" s="41"/>
      <c r="R19" s="41"/>
      <c r="S19" s="41"/>
      <c r="T19" s="41"/>
      <c r="U19" s="41"/>
      <c r="V19" s="41"/>
      <c r="W19" s="41"/>
      <c r="X19" s="4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row>
    <row r="20" spans="1:62">
      <c r="A20" s="100" t="s">
        <v>129</v>
      </c>
      <c r="B20" s="106"/>
      <c r="C20" s="104"/>
      <c r="D20" s="104"/>
      <c r="E20" s="104"/>
      <c r="F20" s="104"/>
      <c r="G20" s="104"/>
      <c r="H20" s="104"/>
      <c r="I20" s="86"/>
      <c r="J20" s="41"/>
      <c r="K20" s="41"/>
      <c r="L20" s="41"/>
      <c r="M20" s="41"/>
      <c r="N20" s="41"/>
      <c r="O20" s="41"/>
      <c r="P20" s="41"/>
      <c r="Q20" s="41"/>
      <c r="R20" s="41"/>
      <c r="S20" s="41"/>
      <c r="T20" s="41"/>
      <c r="U20" s="41"/>
      <c r="V20" s="41"/>
      <c r="W20" s="41"/>
      <c r="X20" s="4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row>
    <row r="21" spans="1:62">
      <c r="A21" s="17" t="s">
        <v>171</v>
      </c>
      <c r="B21" s="104">
        <f>OpEx!F22</f>
        <v>1120809</v>
      </c>
      <c r="C21" s="104">
        <f>OpEx!G22</f>
        <v>1003799</v>
      </c>
      <c r="D21" s="104">
        <f>OpEx!H22</f>
        <v>1125217</v>
      </c>
      <c r="E21" s="104">
        <f>OpEx!I22</f>
        <v>970143.38053103874</v>
      </c>
      <c r="F21" s="104">
        <f>OpEx!J22</f>
        <v>928504</v>
      </c>
      <c r="G21" s="104">
        <f>OpEx!K22</f>
        <v>516847</v>
      </c>
      <c r="H21" s="104">
        <f>OpEx!L22</f>
        <v>305064</v>
      </c>
      <c r="I21" s="86" t="s">
        <v>131</v>
      </c>
      <c r="J21" s="41"/>
      <c r="K21" s="41"/>
      <c r="L21" s="41"/>
      <c r="M21" s="41"/>
      <c r="N21" s="41"/>
      <c r="O21" s="41"/>
      <c r="P21" s="41"/>
      <c r="Q21" s="41"/>
      <c r="R21" s="41"/>
      <c r="S21" s="41"/>
      <c r="T21" s="41"/>
      <c r="U21" s="41"/>
      <c r="V21" s="41"/>
      <c r="W21" s="41"/>
      <c r="X21" s="4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row>
    <row r="22" spans="1:62">
      <c r="A22" s="17" t="s">
        <v>172</v>
      </c>
      <c r="B22" s="104">
        <f>OpEx!F23</f>
        <v>187500</v>
      </c>
      <c r="C22" s="104">
        <f>OpEx!G23</f>
        <v>187500</v>
      </c>
      <c r="D22" s="104">
        <f>OpEx!H23</f>
        <v>133200</v>
      </c>
      <c r="E22" s="104">
        <f>OpEx!I23</f>
        <v>244999.99999999895</v>
      </c>
      <c r="F22" s="104">
        <f>OpEx!J23</f>
        <v>232500</v>
      </c>
      <c r="G22" s="104">
        <f>OpEx!K23</f>
        <v>232500</v>
      </c>
      <c r="H22" s="104">
        <f>OpEx!L23</f>
        <v>232500</v>
      </c>
      <c r="I22" s="86" t="s">
        <v>133</v>
      </c>
      <c r="J22" s="41"/>
      <c r="K22" s="41"/>
      <c r="L22" s="41"/>
      <c r="M22" s="41"/>
      <c r="N22" s="41"/>
      <c r="O22" s="41"/>
      <c r="P22" s="41"/>
      <c r="Q22" s="41"/>
      <c r="R22" s="41"/>
      <c r="S22" s="41"/>
      <c r="T22" s="41"/>
      <c r="U22" s="41"/>
      <c r="V22" s="41"/>
      <c r="W22" s="41"/>
      <c r="X22" s="4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row>
    <row r="23" spans="1:62">
      <c r="A23" s="17" t="s">
        <v>173</v>
      </c>
      <c r="B23" s="104">
        <f>OpEx!F24</f>
        <v>60000</v>
      </c>
      <c r="C23" s="104">
        <f>OpEx!G24</f>
        <v>60000</v>
      </c>
      <c r="D23" s="104">
        <f>OpEx!H24</f>
        <v>60000</v>
      </c>
      <c r="E23" s="104">
        <f>OpEx!I24</f>
        <v>60000</v>
      </c>
      <c r="F23" s="104">
        <f>OpEx!J24</f>
        <v>60000</v>
      </c>
      <c r="G23" s="104">
        <f>OpEx!K24</f>
        <v>60000</v>
      </c>
      <c r="H23" s="104">
        <f>OpEx!L24</f>
        <v>60000</v>
      </c>
      <c r="I23" s="86"/>
      <c r="J23" s="41"/>
      <c r="K23" s="41"/>
      <c r="L23" s="41"/>
      <c r="M23" s="41"/>
      <c r="N23" s="41"/>
      <c r="O23" s="41"/>
      <c r="P23" s="41"/>
      <c r="Q23" s="41"/>
      <c r="R23" s="41"/>
      <c r="S23" s="41"/>
      <c r="T23" s="41"/>
      <c r="U23" s="41"/>
      <c r="V23" s="41"/>
      <c r="W23" s="41"/>
      <c r="X23" s="4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row>
    <row r="24" spans="1:62">
      <c r="A24" s="17" t="s">
        <v>174</v>
      </c>
      <c r="B24" s="104">
        <f>OpEx!F25</f>
        <v>992500.00000000431</v>
      </c>
      <c r="C24" s="104">
        <f>OpEx!G25</f>
        <v>900000</v>
      </c>
      <c r="D24" s="104">
        <f>OpEx!H25</f>
        <v>1045000.0000000047</v>
      </c>
      <c r="E24" s="104">
        <f>OpEx!I25</f>
        <v>942499.99999999616</v>
      </c>
      <c r="F24" s="104">
        <f>OpEx!J25</f>
        <v>870000</v>
      </c>
      <c r="G24" s="104">
        <f>OpEx!K25</f>
        <v>489999.9999999979</v>
      </c>
      <c r="H24" s="104">
        <f>OpEx!L25</f>
        <v>285000</v>
      </c>
      <c r="I24" s="88" t="s">
        <v>175</v>
      </c>
      <c r="J24" s="41"/>
      <c r="K24" s="41"/>
      <c r="L24" s="41"/>
      <c r="M24" s="49" t="s">
        <v>137</v>
      </c>
      <c r="N24" s="41"/>
      <c r="O24" s="41"/>
      <c r="P24" s="41"/>
      <c r="Q24" s="41"/>
      <c r="R24" s="41"/>
      <c r="S24" s="41"/>
      <c r="T24" s="41"/>
      <c r="U24" s="41"/>
      <c r="V24" s="41"/>
      <c r="W24" s="41"/>
      <c r="X24" s="4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row>
    <row r="25" spans="1:62">
      <c r="A25" s="17" t="s">
        <v>176</v>
      </c>
      <c r="B25" s="104">
        <f>OpEx!F26</f>
        <v>37500</v>
      </c>
      <c r="C25" s="104">
        <f>OpEx!G26</f>
        <v>37500</v>
      </c>
      <c r="D25" s="104">
        <f>OpEx!H26</f>
        <v>37500</v>
      </c>
      <c r="E25" s="104">
        <f>OpEx!I26</f>
        <v>37500</v>
      </c>
      <c r="F25" s="104">
        <f>OpEx!J26</f>
        <v>24999.999999999924</v>
      </c>
      <c r="G25" s="104">
        <f>OpEx!K26</f>
        <v>12499.999999999962</v>
      </c>
      <c r="H25" s="104">
        <f>OpEx!L26</f>
        <v>12499.999999999962</v>
      </c>
      <c r="I25" s="86"/>
      <c r="J25" s="41"/>
      <c r="K25" s="41"/>
      <c r="L25" s="41"/>
      <c r="M25" s="41"/>
      <c r="N25" s="41"/>
      <c r="O25" s="41"/>
      <c r="P25" s="41"/>
      <c r="Q25" s="41"/>
      <c r="R25" s="41"/>
      <c r="S25" s="41"/>
      <c r="T25" s="41"/>
      <c r="U25" s="41"/>
      <c r="V25" s="41"/>
      <c r="W25" s="41"/>
      <c r="X25" s="4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row>
    <row r="26" spans="1:62">
      <c r="A26" s="17" t="s">
        <v>177</v>
      </c>
      <c r="B26" s="104">
        <f>OpEx!F27</f>
        <v>4415700</v>
      </c>
      <c r="C26" s="104">
        <f>OpEx!G27</f>
        <v>2556300</v>
      </c>
      <c r="D26" s="104">
        <f>OpEx!H27</f>
        <v>2145000</v>
      </c>
      <c r="E26" s="104">
        <f>OpEx!I27</f>
        <v>1860000</v>
      </c>
      <c r="F26" s="104">
        <f>OpEx!J27</f>
        <v>2648100</v>
      </c>
      <c r="G26" s="104">
        <f>OpEx!K27</f>
        <v>934500</v>
      </c>
      <c r="H26" s="104">
        <f>OpEx!L27</f>
        <v>763200</v>
      </c>
      <c r="I26" s="89" t="s">
        <v>140</v>
      </c>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row>
    <row r="27" spans="1:62">
      <c r="A27" s="17" t="s">
        <v>178</v>
      </c>
      <c r="B27" s="104">
        <f>OpEx!F28</f>
        <v>792499.99999999756</v>
      </c>
      <c r="C27" s="104">
        <f>OpEx!G28</f>
        <v>702499.99999999872</v>
      </c>
      <c r="D27" s="104">
        <f>OpEx!H28</f>
        <v>692500.00000000105</v>
      </c>
      <c r="E27" s="104">
        <f>OpEx!I28</f>
        <v>549999.99999999837</v>
      </c>
      <c r="F27" s="104">
        <f>OpEx!J28</f>
        <v>549999.99999999837</v>
      </c>
      <c r="G27" s="104">
        <f>OpEx!K28</f>
        <v>267499.99999999901</v>
      </c>
      <c r="H27" s="104">
        <f>OpEx!L28</f>
        <v>150000</v>
      </c>
      <c r="I27" s="90" t="s">
        <v>142</v>
      </c>
      <c r="J27" s="41"/>
      <c r="K27" s="41"/>
      <c r="L27" s="41"/>
      <c r="M27" s="41"/>
      <c r="N27" s="41"/>
      <c r="O27" s="41"/>
      <c r="P27" s="41"/>
      <c r="Q27" s="41"/>
      <c r="R27" s="41"/>
      <c r="S27" s="41"/>
      <c r="T27" s="41"/>
      <c r="U27" s="41"/>
      <c r="V27" s="41"/>
      <c r="W27" s="41"/>
      <c r="X27" s="4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row>
    <row r="28" spans="1:62">
      <c r="A28" s="17" t="s">
        <v>179</v>
      </c>
      <c r="B28" s="104">
        <f>OpEx!F29</f>
        <v>32899.999999999825</v>
      </c>
      <c r="C28" s="104">
        <f>OpEx!G29</f>
        <v>32899.999999999825</v>
      </c>
      <c r="D28" s="104">
        <f>OpEx!H29</f>
        <v>32899.999999999825</v>
      </c>
      <c r="E28" s="104">
        <f>OpEx!I29</f>
        <v>32899.999999999825</v>
      </c>
      <c r="F28" s="104">
        <f>OpEx!J29</f>
        <v>29224.999999999847</v>
      </c>
      <c r="G28" s="104">
        <f>OpEx!K29</f>
        <v>20650.000000000007</v>
      </c>
      <c r="H28" s="104">
        <f>OpEx!L29</f>
        <v>20650.000000000007</v>
      </c>
      <c r="I28" s="86"/>
      <c r="J28" s="41"/>
      <c r="K28" s="41"/>
      <c r="L28" s="41"/>
      <c r="M28" s="41"/>
      <c r="N28" s="41"/>
      <c r="O28" s="41"/>
      <c r="P28" s="41"/>
      <c r="Q28" s="41"/>
      <c r="R28" s="41"/>
      <c r="S28" s="41"/>
      <c r="T28" s="41"/>
      <c r="U28" s="41"/>
      <c r="V28" s="41"/>
      <c r="W28" s="41"/>
      <c r="X28" s="4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row>
    <row r="29" spans="1:62">
      <c r="A29" s="17" t="s">
        <v>180</v>
      </c>
      <c r="B29" s="26">
        <f>OpEx!F30</f>
        <v>32899.999999999825</v>
      </c>
      <c r="C29" s="26">
        <f>OpEx!G30</f>
        <v>32899.999999999825</v>
      </c>
      <c r="D29" s="26">
        <f>OpEx!H30</f>
        <v>32899.999999999825</v>
      </c>
      <c r="E29" s="26">
        <f>OpEx!I30</f>
        <v>32899.999999999825</v>
      </c>
      <c r="F29" s="26">
        <f>OpEx!J30</f>
        <v>32899.999999999825</v>
      </c>
      <c r="G29" s="26">
        <f>OpEx!K30</f>
        <v>20650.000000000007</v>
      </c>
      <c r="H29" s="26">
        <f>OpEx!L30</f>
        <v>20650.000000000007</v>
      </c>
      <c r="I29" s="86"/>
      <c r="J29" s="41"/>
      <c r="K29" s="41"/>
      <c r="L29" s="41"/>
      <c r="M29" s="41"/>
      <c r="N29" s="41"/>
      <c r="O29" s="41"/>
      <c r="P29" s="41"/>
      <c r="Q29" s="41"/>
      <c r="R29" s="41"/>
      <c r="S29" s="41"/>
      <c r="T29" s="41"/>
      <c r="U29" s="41"/>
      <c r="V29" s="41"/>
      <c r="W29" s="41"/>
      <c r="X29" s="4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row>
    <row r="30" spans="1:62">
      <c r="A30" s="100" t="s">
        <v>145</v>
      </c>
      <c r="B30" s="105">
        <f t="shared" ref="B30:H30" si="2">SUM(B21:B29)</f>
        <v>7672309.0000000009</v>
      </c>
      <c r="C30" s="105">
        <f t="shared" si="2"/>
        <v>5513398.9999999991</v>
      </c>
      <c r="D30" s="105">
        <f t="shared" si="2"/>
        <v>5304217.0000000056</v>
      </c>
      <c r="E30" s="105">
        <f t="shared" si="2"/>
        <v>4730943.3805310326</v>
      </c>
      <c r="F30" s="105">
        <f t="shared" si="2"/>
        <v>5376228.9999999981</v>
      </c>
      <c r="G30" s="105">
        <f t="shared" si="2"/>
        <v>2555146.9999999972</v>
      </c>
      <c r="H30" s="105">
        <f t="shared" si="2"/>
        <v>1849564</v>
      </c>
      <c r="I30" s="59"/>
      <c r="J30" s="41"/>
      <c r="K30" s="41"/>
      <c r="L30" s="41"/>
      <c r="M30" s="41"/>
      <c r="N30" s="41"/>
      <c r="O30" s="41"/>
      <c r="P30" s="41"/>
      <c r="Q30" s="41"/>
      <c r="R30" s="41"/>
      <c r="S30" s="41"/>
      <c r="T30" s="41"/>
      <c r="U30" s="41"/>
      <c r="V30" s="41"/>
      <c r="W30" s="41"/>
      <c r="X30" s="4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row>
    <row r="31" spans="1:62" ht="8.25" customHeight="1">
      <c r="A31" s="17"/>
      <c r="B31" s="104"/>
      <c r="C31" s="104"/>
      <c r="D31" s="104"/>
      <c r="E31" s="104"/>
      <c r="F31" s="104"/>
      <c r="G31" s="104"/>
      <c r="H31" s="104"/>
      <c r="I31" s="59"/>
      <c r="J31" s="41"/>
      <c r="K31" s="41"/>
      <c r="L31" s="41"/>
      <c r="M31" s="41"/>
      <c r="N31" s="41"/>
      <c r="O31" s="41"/>
      <c r="P31" s="41"/>
      <c r="Q31" s="41"/>
      <c r="R31" s="41"/>
      <c r="S31" s="41"/>
      <c r="T31" s="41"/>
      <c r="U31" s="41"/>
      <c r="V31" s="41"/>
      <c r="W31" s="41"/>
      <c r="X31" s="4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row>
    <row r="32" spans="1:62">
      <c r="A32" s="100" t="s">
        <v>146</v>
      </c>
      <c r="B32" s="107">
        <f t="shared" ref="B32:H32" si="3">B12+B18+B30</f>
        <v>19225769.705000002</v>
      </c>
      <c r="C32" s="107">
        <f t="shared" si="3"/>
        <v>16553743.705000002</v>
      </c>
      <c r="D32" s="107">
        <f t="shared" si="3"/>
        <v>17254154.565624997</v>
      </c>
      <c r="E32" s="107">
        <f t="shared" si="3"/>
        <v>13542071.527406026</v>
      </c>
      <c r="F32" s="107">
        <f t="shared" si="3"/>
        <v>13871531.728124985</v>
      </c>
      <c r="G32" s="107">
        <f t="shared" si="3"/>
        <v>7973051.7749999994</v>
      </c>
      <c r="H32" s="107">
        <f t="shared" si="3"/>
        <v>5080583.1187499985</v>
      </c>
      <c r="I32" s="59"/>
      <c r="J32" s="41"/>
      <c r="K32" s="41"/>
      <c r="L32" s="41"/>
      <c r="M32" s="41"/>
      <c r="N32" s="41"/>
      <c r="O32" s="41"/>
      <c r="P32" s="41"/>
      <c r="Q32" s="41"/>
      <c r="R32" s="41"/>
      <c r="S32" s="41"/>
      <c r="T32" s="41"/>
      <c r="U32" s="41"/>
      <c r="V32" s="41"/>
      <c r="W32" s="41"/>
      <c r="X32" s="4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row>
    <row r="33" spans="1:62" ht="6.75" customHeight="1">
      <c r="A33" s="31"/>
      <c r="B33" s="7"/>
      <c r="C33" s="7"/>
      <c r="D33" s="7"/>
      <c r="E33" s="7"/>
      <c r="F33" s="7"/>
      <c r="G33" s="7"/>
      <c r="H33" s="7"/>
      <c r="I33" s="59"/>
      <c r="J33" s="41"/>
      <c r="K33" s="41"/>
      <c r="L33" s="41"/>
      <c r="M33" s="41"/>
      <c r="N33" s="41"/>
      <c r="O33" s="41"/>
      <c r="P33" s="41"/>
      <c r="Q33" s="41"/>
      <c r="R33" s="41"/>
      <c r="S33" s="41"/>
      <c r="T33" s="41"/>
      <c r="U33" s="41"/>
      <c r="V33" s="41"/>
      <c r="W33" s="41"/>
      <c r="X33" s="4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row>
    <row r="34" spans="1:62">
      <c r="A34" s="100" t="s">
        <v>83</v>
      </c>
      <c r="B34" s="135">
        <f>CapEx!F37</f>
        <v>15.52</v>
      </c>
      <c r="C34" s="135">
        <f>CapEx!G37</f>
        <v>14.12</v>
      </c>
      <c r="D34" s="135">
        <f>CapEx!I37</f>
        <v>15.52</v>
      </c>
      <c r="E34" s="135">
        <f>CapEx!K37</f>
        <v>11.36</v>
      </c>
      <c r="F34" s="135">
        <f>CapEx!M37</f>
        <v>10.7</v>
      </c>
      <c r="G34" s="135">
        <f>CapEx!O37</f>
        <v>5.17</v>
      </c>
      <c r="H34" s="135">
        <f>CapEx!Q37</f>
        <v>2.61</v>
      </c>
      <c r="I34" s="41"/>
      <c r="J34" s="41"/>
      <c r="K34" s="41"/>
      <c r="L34" s="41"/>
      <c r="M34" s="41"/>
      <c r="N34" s="41"/>
      <c r="O34" s="41"/>
      <c r="P34" s="41"/>
      <c r="Q34" s="41"/>
      <c r="R34" s="41"/>
      <c r="S34" s="41"/>
      <c r="T34" s="41"/>
      <c r="U34" s="41"/>
      <c r="V34" s="41"/>
      <c r="W34" s="41"/>
      <c r="X34" s="4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row>
    <row r="35" spans="1:62" ht="9" customHeight="1">
      <c r="A35" s="17"/>
      <c r="B35" s="92"/>
      <c r="C35" s="92"/>
      <c r="D35" s="92"/>
      <c r="E35" s="92"/>
      <c r="F35" s="92"/>
      <c r="G35" s="92"/>
      <c r="H35" s="92"/>
      <c r="I35" s="41"/>
      <c r="J35" s="41"/>
      <c r="K35" s="41"/>
      <c r="L35" s="41"/>
      <c r="M35" s="41"/>
      <c r="N35" s="41"/>
      <c r="O35" s="41"/>
      <c r="P35" s="41"/>
      <c r="Q35" s="41"/>
      <c r="R35" s="41"/>
      <c r="S35" s="41"/>
      <c r="T35" s="41"/>
      <c r="U35" s="41"/>
      <c r="V35" s="41"/>
      <c r="W35" s="41"/>
      <c r="X35" s="4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row>
    <row r="36" spans="1:62">
      <c r="A36" s="100" t="s">
        <v>181</v>
      </c>
      <c r="B36" s="92"/>
      <c r="C36" s="92"/>
      <c r="D36" s="92"/>
      <c r="E36" s="92"/>
      <c r="F36" s="92"/>
      <c r="G36" s="92"/>
      <c r="H36" s="92"/>
      <c r="I36" s="41"/>
      <c r="J36" s="41"/>
      <c r="K36" s="41"/>
      <c r="L36" s="41"/>
      <c r="M36" s="41"/>
      <c r="N36" s="41"/>
      <c r="O36" s="41"/>
      <c r="P36" s="41"/>
      <c r="Q36" s="41"/>
      <c r="R36" s="41"/>
      <c r="S36" s="41"/>
      <c r="T36" s="41"/>
      <c r="U36" s="41"/>
      <c r="V36" s="41"/>
      <c r="W36" s="41"/>
      <c r="X36" s="4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row>
    <row r="37" spans="1:62">
      <c r="A37" s="17" t="s">
        <v>182</v>
      </c>
      <c r="B37" s="109">
        <f>(B32-B7-B24*0.4-B10/10-B17*0.9)/35/(B$34*1000)</f>
        <v>27.262366347569959</v>
      </c>
      <c r="C37" s="109">
        <f t="shared" ref="C37:H37" si="4">(C32-C7-C24*0.4-C10/10-C17*0.9)/35/(C$34*1000)</f>
        <v>24.820892755969247</v>
      </c>
      <c r="D37" s="109">
        <f t="shared" si="4"/>
        <v>22.791212628865978</v>
      </c>
      <c r="E37" s="109">
        <f t="shared" si="4"/>
        <v>22.567349297110244</v>
      </c>
      <c r="F37" s="109">
        <f t="shared" si="4"/>
        <v>25.312449933244324</v>
      </c>
      <c r="G37" s="109">
        <f t="shared" si="4"/>
        <v>29.953507046145337</v>
      </c>
      <c r="H37" s="109">
        <f t="shared" si="4"/>
        <v>38.506383141762463</v>
      </c>
      <c r="I37" s="41"/>
      <c r="J37" s="41"/>
      <c r="K37" s="41"/>
      <c r="L37" s="41"/>
      <c r="M37" s="41"/>
      <c r="N37" s="41"/>
      <c r="O37" s="41"/>
      <c r="P37" s="41"/>
      <c r="Q37" s="41"/>
      <c r="R37" s="41"/>
      <c r="S37" s="41"/>
      <c r="T37" s="41"/>
      <c r="U37" s="41"/>
      <c r="V37" s="41"/>
      <c r="W37" s="41"/>
      <c r="X37" s="4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row>
    <row r="38" spans="1:62">
      <c r="A38" s="17" t="s">
        <v>183</v>
      </c>
      <c r="B38" s="110">
        <f>1/0.9*B37</f>
        <v>30.291518163966622</v>
      </c>
      <c r="C38" s="110">
        <f t="shared" ref="C38:H38" si="5">1/0.9*C37</f>
        <v>27.57876972885472</v>
      </c>
      <c r="D38" s="110">
        <f t="shared" si="5"/>
        <v>25.323569587628864</v>
      </c>
      <c r="E38" s="110">
        <f t="shared" si="5"/>
        <v>25.074832552344716</v>
      </c>
      <c r="F38" s="110">
        <f t="shared" si="5"/>
        <v>28.124944370271471</v>
      </c>
      <c r="G38" s="110">
        <f t="shared" si="5"/>
        <v>33.281674495717041</v>
      </c>
      <c r="H38" s="110">
        <f t="shared" si="5"/>
        <v>42.784870157513851</v>
      </c>
      <c r="I38" s="41"/>
      <c r="J38" s="41"/>
      <c r="K38" s="41"/>
      <c r="L38" s="41"/>
      <c r="M38" s="41"/>
      <c r="N38" s="41"/>
      <c r="O38" s="41"/>
      <c r="P38" s="41"/>
      <c r="Q38" s="41"/>
      <c r="R38" s="41"/>
      <c r="S38" s="41"/>
      <c r="T38" s="41"/>
      <c r="U38" s="41"/>
      <c r="V38" s="41"/>
      <c r="W38" s="41"/>
      <c r="X38" s="4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row>
    <row r="39" spans="1:62">
      <c r="A39" s="33"/>
      <c r="B39" s="41"/>
      <c r="C39" s="41"/>
      <c r="D39" s="41"/>
      <c r="E39" s="41"/>
      <c r="F39" s="41"/>
      <c r="G39" s="41"/>
      <c r="H39" s="41"/>
      <c r="I39" s="41"/>
      <c r="J39" s="41"/>
      <c r="K39" s="41"/>
      <c r="L39" s="41"/>
      <c r="M39" s="41"/>
      <c r="N39" s="41"/>
      <c r="O39" s="41"/>
      <c r="P39" s="41"/>
      <c r="Q39" s="41"/>
      <c r="R39" s="41"/>
      <c r="S39" s="41"/>
      <c r="T39" s="41"/>
      <c r="U39" s="41"/>
      <c r="V39" s="41"/>
      <c r="W39" s="41"/>
      <c r="X39" s="4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row>
    <row r="40" spans="1:62">
      <c r="A40" s="31"/>
      <c r="B40" s="96"/>
      <c r="C40" s="96"/>
      <c r="D40" s="96"/>
      <c r="E40" s="96"/>
      <c r="F40" s="97"/>
      <c r="G40" s="96"/>
      <c r="H40" s="97"/>
      <c r="I40" s="41"/>
      <c r="J40" s="41"/>
      <c r="K40" s="41"/>
      <c r="L40" s="41"/>
      <c r="M40" s="41"/>
      <c r="N40" s="41"/>
      <c r="O40" s="41"/>
      <c r="P40" s="41"/>
      <c r="Q40" s="41"/>
      <c r="R40" s="41"/>
      <c r="S40" s="41"/>
      <c r="T40" s="41"/>
      <c r="U40" s="41"/>
      <c r="V40" s="41"/>
      <c r="W40" s="41"/>
      <c r="X40" s="4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row>
    <row r="41" spans="1:62">
      <c r="A41" s="33"/>
      <c r="B41" s="17"/>
      <c r="C41" s="17"/>
      <c r="D41" s="17"/>
      <c r="E41" s="17"/>
      <c r="F41" s="18"/>
      <c r="G41" s="17"/>
      <c r="H41" s="18"/>
      <c r="I41" s="41"/>
      <c r="J41" s="41"/>
      <c r="K41" s="41"/>
      <c r="L41" s="41"/>
      <c r="M41" s="41"/>
      <c r="N41" s="41"/>
      <c r="O41" s="41"/>
      <c r="P41" s="41"/>
      <c r="Q41" s="41"/>
      <c r="R41" s="41"/>
      <c r="S41" s="41"/>
      <c r="T41" s="41"/>
      <c r="U41" s="41"/>
      <c r="V41" s="41"/>
      <c r="W41" s="41"/>
      <c r="X41" s="4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row>
    <row r="42" spans="1:62">
      <c r="A42" s="31"/>
      <c r="B42" s="17"/>
      <c r="C42" s="17"/>
      <c r="D42" s="17"/>
      <c r="E42" s="17"/>
      <c r="F42" s="18"/>
      <c r="G42" s="17"/>
      <c r="H42" s="18"/>
      <c r="I42" s="41"/>
      <c r="J42" s="41"/>
      <c r="K42" s="41"/>
      <c r="L42" s="41"/>
      <c r="M42" s="41"/>
      <c r="N42" s="41"/>
      <c r="O42" s="41"/>
      <c r="P42" s="41"/>
      <c r="Q42" s="41"/>
      <c r="R42" s="41"/>
      <c r="S42" s="41"/>
      <c r="T42" s="41"/>
      <c r="U42" s="41"/>
      <c r="V42" s="41"/>
      <c r="W42" s="41"/>
      <c r="X42" s="4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row>
    <row r="43" spans="1:62">
      <c r="A43" s="31"/>
      <c r="B43" s="17"/>
      <c r="C43" s="17"/>
      <c r="D43" s="17"/>
      <c r="E43" s="17"/>
      <c r="F43" s="18"/>
      <c r="G43" s="17"/>
      <c r="H43" s="18"/>
      <c r="I43" s="41"/>
      <c r="J43" s="41"/>
      <c r="K43" s="41"/>
      <c r="L43" s="41"/>
      <c r="M43" s="41"/>
      <c r="N43" s="41"/>
      <c r="O43" s="41"/>
      <c r="P43" s="41"/>
      <c r="Q43" s="41"/>
      <c r="R43" s="41"/>
      <c r="S43" s="41"/>
      <c r="T43" s="41"/>
      <c r="U43" s="41"/>
      <c r="V43" s="41"/>
      <c r="W43" s="41"/>
      <c r="X43" s="4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row>
    <row r="44" spans="1:62">
      <c r="A44" s="31"/>
      <c r="B44" s="17"/>
      <c r="C44" s="17"/>
      <c r="D44" s="17"/>
      <c r="E44" s="17"/>
      <c r="F44" s="18"/>
      <c r="G44" s="17"/>
      <c r="H44" s="18"/>
      <c r="I44" s="41"/>
      <c r="J44" s="41"/>
      <c r="K44" s="41"/>
      <c r="L44" s="41"/>
      <c r="M44" s="41"/>
      <c r="N44" s="41"/>
      <c r="O44" s="41"/>
      <c r="P44" s="41"/>
      <c r="Q44" s="41"/>
      <c r="R44" s="41"/>
      <c r="S44" s="41"/>
      <c r="T44" s="41"/>
      <c r="U44" s="41"/>
      <c r="V44" s="41"/>
      <c r="W44" s="41"/>
      <c r="X44" s="4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row>
    <row r="45" spans="1:62">
      <c r="A45" s="33"/>
      <c r="B45" s="98"/>
      <c r="C45" s="98"/>
      <c r="D45" s="98"/>
      <c r="E45" s="98"/>
      <c r="F45" s="99"/>
      <c r="G45" s="98"/>
      <c r="H45" s="99"/>
      <c r="I45" s="41"/>
      <c r="J45" s="41"/>
      <c r="K45" s="41"/>
      <c r="L45" s="41"/>
      <c r="M45" s="41"/>
      <c r="N45" s="41"/>
      <c r="O45" s="41"/>
      <c r="P45" s="41"/>
      <c r="Q45" s="41"/>
      <c r="R45" s="41"/>
      <c r="S45" s="41"/>
      <c r="T45" s="41"/>
      <c r="U45" s="41"/>
      <c r="V45" s="41"/>
      <c r="W45" s="41"/>
      <c r="X45" s="4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row>
    <row r="46" spans="1:62">
      <c r="A46" s="33"/>
      <c r="B46" s="33"/>
      <c r="C46" s="33"/>
      <c r="D46" s="33"/>
      <c r="E46" s="33"/>
      <c r="F46" s="33"/>
      <c r="G46" s="33"/>
      <c r="H46" s="33"/>
      <c r="I46" s="33"/>
      <c r="J46" s="33"/>
      <c r="K46" s="33"/>
      <c r="L46" s="33"/>
      <c r="M46" s="33"/>
      <c r="N46" s="33"/>
      <c r="O46" s="33"/>
      <c r="P46" s="33"/>
      <c r="Q46" s="33"/>
      <c r="R46" s="33"/>
      <c r="S46" s="33"/>
      <c r="T46" s="33"/>
      <c r="U46" s="33"/>
      <c r="V46" s="33"/>
      <c r="W46" s="33"/>
      <c r="X46" s="33"/>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row>
    <row r="47" spans="1:62">
      <c r="A47" s="33"/>
      <c r="B47" s="33"/>
      <c r="C47" s="33"/>
      <c r="D47" s="33"/>
      <c r="E47" s="33"/>
      <c r="F47" s="33"/>
      <c r="G47" s="33"/>
      <c r="H47" s="33"/>
      <c r="I47" s="33"/>
      <c r="J47" s="33"/>
      <c r="K47" s="33"/>
      <c r="L47" s="33"/>
      <c r="M47" s="33"/>
      <c r="N47" s="33"/>
      <c r="O47" s="33"/>
      <c r="P47" s="33"/>
      <c r="Q47" s="33"/>
      <c r="R47" s="33"/>
      <c r="S47" s="33"/>
      <c r="T47" s="33"/>
      <c r="U47" s="33"/>
      <c r="V47" s="33"/>
      <c r="W47" s="33"/>
      <c r="X47" s="33"/>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row>
    <row r="48" spans="1:62">
      <c r="A48" s="33"/>
      <c r="B48" s="33"/>
      <c r="C48" s="33"/>
      <c r="D48" s="33"/>
      <c r="E48" s="33"/>
      <c r="F48" s="33"/>
      <c r="G48" s="33"/>
      <c r="H48" s="33"/>
      <c r="I48" s="33"/>
      <c r="J48" s="33"/>
      <c r="K48" s="33"/>
      <c r="L48" s="33"/>
      <c r="M48" s="33"/>
      <c r="N48" s="33"/>
      <c r="O48" s="33"/>
      <c r="P48" s="33"/>
      <c r="Q48" s="33"/>
      <c r="R48" s="33"/>
      <c r="S48" s="33"/>
      <c r="T48" s="33"/>
      <c r="U48" s="33"/>
      <c r="V48" s="33"/>
      <c r="W48" s="33"/>
      <c r="X48" s="33"/>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row>
    <row r="49" spans="1:62">
      <c r="A49" s="33"/>
      <c r="B49" s="33"/>
      <c r="C49" s="91"/>
      <c r="D49" s="33"/>
      <c r="E49" s="33"/>
      <c r="F49" s="33"/>
      <c r="G49" s="33"/>
      <c r="H49" s="33"/>
      <c r="I49" s="33"/>
      <c r="J49" s="33"/>
      <c r="K49" s="33"/>
      <c r="L49" s="33"/>
      <c r="M49" s="33"/>
      <c r="N49" s="33"/>
      <c r="O49" s="33"/>
      <c r="P49" s="33"/>
      <c r="Q49" s="33"/>
      <c r="R49" s="33"/>
      <c r="S49" s="33"/>
      <c r="T49" s="33"/>
      <c r="U49" s="33"/>
      <c r="V49" s="33"/>
      <c r="W49" s="33"/>
      <c r="X49" s="33"/>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row>
  </sheetData>
  <mergeCells count="1">
    <mergeCell ref="B1:C1"/>
  </mergeCells>
  <hyperlinks>
    <hyperlink ref="L7" r:id="rId1" display="https://www.pnnl.gov/sites/default/files/media/file/Final - ESGC Cost Performance Report 12-11-2020.pdf" xr:uid="{1FD2C76B-458A-4307-8223-87990DEC0E7A}"/>
    <hyperlink ref="M24" r:id="rId2" location=":~:text=Property%20rates%20for%20solar%20developers,chosen%2C%20area%20and%20deductible%20amounts." display="https://www.solarinsure.com/for-solar-developers-how-solar-property-insurance-is-priced - :~:text=Property%20rates%20for%20solar%20developers,chosen%2C%20area%20and%20deductible%20amounts." xr:uid="{0E926AAE-73B7-42BF-88B2-19A645E03A8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A8A4F0ED6AAC4DBF528CA16A446EBD" ma:contentTypeVersion="15" ma:contentTypeDescription="Create a new document." ma:contentTypeScope="" ma:versionID="edcaa21940d02c2cb1870a90b415147b">
  <xsd:schema xmlns:xsd="http://www.w3.org/2001/XMLSchema" xmlns:xs="http://www.w3.org/2001/XMLSchema" xmlns:p="http://schemas.microsoft.com/office/2006/metadata/properties" xmlns:ns2="ed53cbc3-507a-49b3-991f-a2f23f26082f" xmlns:ns3="1f218e2f-722f-42ad-a80e-79a2687c6e1d" targetNamespace="http://schemas.microsoft.com/office/2006/metadata/properties" ma:root="true" ma:fieldsID="48b395418cc9284d48a3535cfec256c1" ns2:_="" ns3:_="">
    <xsd:import namespace="ed53cbc3-507a-49b3-991f-a2f23f26082f"/>
    <xsd:import namespace="1f218e2f-722f-42ad-a80e-79a2687c6e1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Comment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53cbc3-507a-49b3-991f-a2f23f2608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f62c27-727a-47a1-8d9f-b2cb979f3c1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Comments" ma:index="19" nillable="true" ma:displayName="Comments" ma:format="Dropdown" ma:internalName="Comments">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218e2f-722f-42ad-a80e-79a2687c6e1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0afdcde-07d5-47bf-9704-a12b522e7d84}" ma:internalName="TaxCatchAll" ma:showField="CatchAllData" ma:web="1f218e2f-722f-42ad-a80e-79a2687c6e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53cbc3-507a-49b3-991f-a2f23f26082f">
      <Terms xmlns="http://schemas.microsoft.com/office/infopath/2007/PartnerControls"/>
    </lcf76f155ced4ddcb4097134ff3c332f>
    <TaxCatchAll xmlns="1f218e2f-722f-42ad-a80e-79a2687c6e1d" xsi:nil="true"/>
    <Comments xmlns="ed53cbc3-507a-49b3-991f-a2f23f26082f" xsi:nil="true"/>
  </documentManagement>
</p:properties>
</file>

<file path=customXml/itemProps1.xml><?xml version="1.0" encoding="utf-8"?>
<ds:datastoreItem xmlns:ds="http://schemas.openxmlformats.org/officeDocument/2006/customXml" ds:itemID="{D8727779-094B-400A-BB04-3AD9840C4CB4}"/>
</file>

<file path=customXml/itemProps2.xml><?xml version="1.0" encoding="utf-8"?>
<ds:datastoreItem xmlns:ds="http://schemas.openxmlformats.org/officeDocument/2006/customXml" ds:itemID="{84943F85-C773-4FE5-AFAD-D1383EE737B6}"/>
</file>

<file path=customXml/itemProps3.xml><?xml version="1.0" encoding="utf-8"?>
<ds:datastoreItem xmlns:ds="http://schemas.openxmlformats.org/officeDocument/2006/customXml" ds:itemID="{99C62C19-C9F8-4A6B-AE01-2FF3F67D7F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Rick Bercuvitz</dc:creator>
  <cp:keywords/>
  <dc:description/>
  <cp:lastModifiedBy>Rick Bercuvitz</cp:lastModifiedBy>
  <cp:revision/>
  <dcterms:created xsi:type="dcterms:W3CDTF">2024-06-23T20:50:28Z</dcterms:created>
  <dcterms:modified xsi:type="dcterms:W3CDTF">2025-12-15T20:35:04Z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0x0101001FA8A4F0ED6AAC4DBF528CA16A446EBD</vt:lpwstr>
  </property>
  <property fmtid="{D5CDD505-2E9C-101B-9397-08002B2CF9AE}" pid="3" name="MediaServiceImageTags">
    <vt:lpwstr/>
  </property>
</Properties>
</file>